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CTIVE FILES\PUBLICATIONS\KAIKOURA EARTHQUAKE\Uplift\Supplementary Files\"/>
    </mc:Choice>
  </mc:AlternateContent>
  <bookViews>
    <workbookView xWindow="0" yWindow="0" windowWidth="23280" windowHeight="12600" tabRatio="793" activeTab="2"/>
  </bookViews>
  <sheets>
    <sheet name="Table 3 Living depth calc" sheetId="11" r:id="rId1"/>
    <sheet name="Table 4 RTK data" sheetId="10" r:id="rId2"/>
    <sheet name=" Table 4 Tape Measure data" sheetId="9" r:id="rId3"/>
    <sheet name="Tide Gauge calib uplift all " sheetId="2" r:id="rId4"/>
    <sheet name="NIWA chart uplift all sites" sheetId="3" r:id="rId5"/>
    <sheet name="LINZ chart uplift all sites" sheetId="4" r:id="rId6"/>
    <sheet name="Tape measure uplift all sites" sheetId="5" r:id="rId7"/>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90" i="5" l="1"/>
  <c r="X8" i="10"/>
  <c r="X7" i="10"/>
  <c r="X6" i="10"/>
  <c r="W8" i="10"/>
  <c r="W7" i="10"/>
  <c r="W6" i="10"/>
  <c r="V8" i="10"/>
  <c r="V7" i="10"/>
  <c r="V6" i="10"/>
  <c r="U8" i="10"/>
  <c r="U6" i="10"/>
  <c r="U7" i="10"/>
  <c r="M4" i="11"/>
  <c r="O4" i="11" s="1"/>
  <c r="M5" i="11"/>
  <c r="O5" i="11" s="1"/>
  <c r="M6" i="11"/>
  <c r="O6" i="11" s="1"/>
  <c r="M7" i="11"/>
  <c r="O7" i="11" s="1"/>
  <c r="M8" i="11"/>
  <c r="O8" i="11" s="1"/>
  <c r="M9" i="11"/>
  <c r="O9" i="11" s="1"/>
  <c r="M10" i="11"/>
  <c r="O10" i="11" s="1"/>
  <c r="M11" i="11"/>
  <c r="O11" i="11" s="1"/>
  <c r="M12" i="11"/>
  <c r="O12" i="11" s="1"/>
  <c r="M13" i="11"/>
  <c r="O13" i="11" s="1"/>
  <c r="M14" i="11"/>
  <c r="O14" i="11" s="1"/>
  <c r="M15" i="11"/>
  <c r="O15" i="11" s="1"/>
  <c r="M16" i="11"/>
  <c r="O16" i="11" s="1"/>
  <c r="M17" i="11"/>
  <c r="O17" i="11" s="1"/>
  <c r="M18" i="11"/>
  <c r="M19" i="11"/>
  <c r="O19" i="11" s="1"/>
  <c r="M20" i="11"/>
  <c r="O20" i="11" s="1"/>
  <c r="M21" i="11"/>
  <c r="O21" i="11" s="1"/>
  <c r="M22" i="11"/>
  <c r="O22" i="11" s="1"/>
  <c r="M23" i="11"/>
  <c r="O23" i="11" s="1"/>
  <c r="M25" i="11"/>
  <c r="O25" i="11" s="1"/>
  <c r="M26" i="11"/>
  <c r="O26" i="11" s="1"/>
  <c r="M27" i="11"/>
  <c r="O27" i="11" s="1"/>
  <c r="M28" i="11"/>
  <c r="O28" i="11" s="1"/>
  <c r="M29" i="11"/>
  <c r="O29" i="11" s="1"/>
  <c r="M30" i="11"/>
  <c r="O30" i="11" s="1"/>
  <c r="M31" i="11"/>
  <c r="O31" i="11" s="1"/>
  <c r="M32" i="11"/>
  <c r="O32" i="11" s="1"/>
  <c r="M33" i="11"/>
  <c r="O33" i="11" s="1"/>
  <c r="M34" i="11"/>
  <c r="O34" i="11" s="1"/>
  <c r="M35" i="11"/>
  <c r="O35" i="11" s="1"/>
  <c r="M36" i="11"/>
  <c r="O36" i="11" s="1"/>
  <c r="M37" i="11"/>
  <c r="O37" i="11" s="1"/>
  <c r="M38" i="11"/>
  <c r="O38" i="11" s="1"/>
  <c r="M39" i="11"/>
  <c r="O39" i="11" s="1"/>
  <c r="M40" i="11"/>
  <c r="O40" i="11" s="1"/>
  <c r="M41" i="11"/>
  <c r="O41" i="11" s="1"/>
  <c r="M42" i="11"/>
  <c r="O42" i="11" s="1"/>
  <c r="M43" i="11"/>
  <c r="O43" i="11" s="1"/>
  <c r="M45" i="11"/>
  <c r="O45" i="11" s="1"/>
  <c r="M46" i="11"/>
  <c r="O46" i="11" s="1"/>
  <c r="M47" i="11"/>
  <c r="O47" i="11" s="1"/>
  <c r="M48" i="11"/>
  <c r="O48" i="11" s="1"/>
  <c r="M49" i="11"/>
  <c r="O49" i="11" s="1"/>
  <c r="M50" i="11"/>
  <c r="O50" i="11" s="1"/>
  <c r="M51" i="11"/>
  <c r="O51" i="11" s="1"/>
  <c r="M52" i="11"/>
  <c r="M53" i="11"/>
  <c r="O53" i="11" s="1"/>
  <c r="M54" i="11"/>
  <c r="O54" i="11" s="1"/>
  <c r="M55" i="11"/>
  <c r="O55" i="11" s="1"/>
  <c r="M56" i="11"/>
  <c r="O56" i="11" s="1"/>
  <c r="M57" i="11"/>
  <c r="O57" i="11" s="1"/>
  <c r="M58" i="11"/>
  <c r="O58" i="11" s="1"/>
  <c r="M59" i="11"/>
  <c r="O59" i="11" s="1"/>
  <c r="M60" i="11"/>
  <c r="O60" i="11" s="1"/>
  <c r="M61" i="11"/>
  <c r="O61" i="11" s="1"/>
  <c r="M62" i="11"/>
  <c r="O62" i="11" s="1"/>
  <c r="M63" i="11"/>
  <c r="O63" i="11" s="1"/>
  <c r="M64" i="11"/>
  <c r="O64" i="11" s="1"/>
  <c r="M65" i="11"/>
  <c r="O65" i="11" s="1"/>
  <c r="M66" i="11"/>
  <c r="O66" i="11" s="1"/>
  <c r="M67" i="11"/>
  <c r="O67" i="11" s="1"/>
  <c r="M68" i="11"/>
  <c r="O68" i="11" s="1"/>
  <c r="M69" i="11"/>
  <c r="O69" i="11" s="1"/>
  <c r="M70" i="11"/>
  <c r="O70" i="11" s="1"/>
  <c r="M71" i="11"/>
  <c r="O71" i="11" s="1"/>
  <c r="M72" i="11"/>
  <c r="O72" i="11" s="1"/>
  <c r="M73" i="11"/>
  <c r="O73" i="11" s="1"/>
  <c r="M74" i="11"/>
  <c r="O74" i="11"/>
  <c r="M75" i="11"/>
  <c r="O75" i="11" s="1"/>
  <c r="M76" i="11"/>
  <c r="O76" i="11" s="1"/>
  <c r="O52" i="11" l="1"/>
  <c r="O18" i="11"/>
  <c r="T7" i="11" s="1"/>
  <c r="S7" i="11"/>
  <c r="U8" i="11"/>
  <c r="V8" i="11"/>
  <c r="S8" i="11"/>
  <c r="W8" i="11"/>
  <c r="T8" i="11"/>
  <c r="J188" i="3"/>
  <c r="L188" i="3" s="1"/>
  <c r="J187" i="3"/>
  <c r="L187" i="3" s="1"/>
  <c r="J186" i="3"/>
  <c r="L186" i="3" s="1"/>
  <c r="J185" i="3"/>
  <c r="L185" i="3" s="1"/>
  <c r="J184" i="3"/>
  <c r="L184" i="3" s="1"/>
  <c r="J183" i="3"/>
  <c r="L183" i="3" s="1"/>
  <c r="J182" i="3"/>
  <c r="L182" i="3" s="1"/>
  <c r="J181" i="3"/>
  <c r="L181" i="3" s="1"/>
  <c r="J180" i="3"/>
  <c r="L180" i="3" s="1"/>
  <c r="J179" i="3"/>
  <c r="L179" i="3" s="1"/>
  <c r="J178" i="3"/>
  <c r="L178" i="3" s="1"/>
  <c r="J177" i="3"/>
  <c r="L177" i="3" s="1"/>
  <c r="J176" i="3"/>
  <c r="L176" i="3" s="1"/>
  <c r="J175" i="3"/>
  <c r="L175" i="3" s="1"/>
  <c r="J174" i="3"/>
  <c r="L174" i="3" s="1"/>
  <c r="J173" i="3"/>
  <c r="L173" i="3" s="1"/>
  <c r="J172" i="3"/>
  <c r="L172" i="3" s="1"/>
  <c r="J171" i="3"/>
  <c r="L171" i="3" s="1"/>
  <c r="J170" i="3"/>
  <c r="L170" i="3" s="1"/>
  <c r="J169" i="3"/>
  <c r="L169" i="3" s="1"/>
  <c r="J189" i="4"/>
  <c r="J188" i="4"/>
  <c r="J187" i="4"/>
  <c r="J186" i="4"/>
  <c r="J185" i="4"/>
  <c r="J184" i="4"/>
  <c r="J183" i="4"/>
  <c r="J182" i="4"/>
  <c r="J181" i="4"/>
  <c r="J180" i="4"/>
  <c r="J179" i="4"/>
  <c r="J178" i="4"/>
  <c r="J177" i="4"/>
  <c r="J176" i="4"/>
  <c r="J175" i="4"/>
  <c r="J174" i="4"/>
  <c r="J173" i="4"/>
  <c r="J172" i="4"/>
  <c r="J171" i="4"/>
  <c r="J170" i="4"/>
  <c r="Q176" i="4"/>
  <c r="Q175" i="4"/>
  <c r="Q174" i="4"/>
  <c r="S176" i="3"/>
  <c r="S175" i="3"/>
  <c r="S174" i="3"/>
  <c r="L171" i="4" l="1"/>
  <c r="L179" i="4"/>
  <c r="L172" i="4"/>
  <c r="L176" i="4"/>
  <c r="L180" i="4"/>
  <c r="L184" i="4"/>
  <c r="L188" i="4"/>
  <c r="L170" i="4"/>
  <c r="L175" i="4"/>
  <c r="L173" i="4"/>
  <c r="L177" i="4"/>
  <c r="L181" i="4"/>
  <c r="L185" i="4"/>
  <c r="L189" i="4"/>
  <c r="L174" i="4"/>
  <c r="L178" i="4"/>
  <c r="L182" i="4"/>
  <c r="L186" i="4"/>
  <c r="L183" i="4"/>
  <c r="L187" i="4"/>
  <c r="S174" i="4"/>
  <c r="T174" i="4" s="1"/>
  <c r="U174" i="4" s="1"/>
  <c r="Q182" i="4" s="1"/>
  <c r="O169" i="3"/>
  <c r="N169" i="3"/>
  <c r="S6" i="11"/>
  <c r="U6" i="11"/>
  <c r="T6" i="11"/>
  <c r="U7" i="11"/>
  <c r="V7" i="11"/>
  <c r="V6" i="11"/>
  <c r="W7" i="11"/>
  <c r="W6" i="11"/>
  <c r="O170" i="4"/>
  <c r="N170" i="4"/>
  <c r="U174" i="3"/>
  <c r="V174" i="3" s="1"/>
  <c r="W174" i="3" s="1"/>
  <c r="S182" i="3" s="1"/>
  <c r="L187" i="2"/>
  <c r="L186" i="2"/>
  <c r="L185" i="2"/>
  <c r="L184" i="2"/>
  <c r="N183" i="2"/>
  <c r="L183" i="2"/>
  <c r="L182" i="2"/>
  <c r="L181" i="2"/>
  <c r="L180" i="2"/>
  <c r="L179" i="2"/>
  <c r="L178" i="2"/>
  <c r="L177" i="2"/>
  <c r="L176" i="2"/>
  <c r="L175" i="2"/>
  <c r="L174" i="2"/>
  <c r="L173" i="2"/>
  <c r="L172" i="2"/>
  <c r="L171" i="2"/>
  <c r="L170" i="2"/>
  <c r="L169" i="2"/>
  <c r="L168" i="2"/>
  <c r="N168" i="2" l="1"/>
  <c r="N187" i="2"/>
  <c r="N169" i="2"/>
  <c r="N173" i="2"/>
  <c r="N177" i="2"/>
  <c r="N181" i="2"/>
  <c r="N184" i="2"/>
  <c r="N172" i="2"/>
  <c r="N176" i="2"/>
  <c r="N180" i="2"/>
  <c r="N170" i="2"/>
  <c r="N174" i="2"/>
  <c r="N178" i="2"/>
  <c r="N182" i="2"/>
  <c r="N185" i="2"/>
  <c r="N186" i="2"/>
  <c r="N175" i="2"/>
  <c r="N179" i="2"/>
  <c r="N171" i="2"/>
  <c r="Q168" i="2" l="1"/>
  <c r="R168" i="2"/>
  <c r="Q10" i="4"/>
  <c r="Q9" i="4"/>
  <c r="Q8" i="4"/>
  <c r="S8" i="4" l="1"/>
  <c r="T8" i="4" s="1"/>
  <c r="U8" i="4" s="1"/>
  <c r="Q16" i="4" s="1"/>
  <c r="J26" i="4"/>
  <c r="J25" i="4"/>
  <c r="J24" i="4"/>
  <c r="J23" i="4"/>
  <c r="J22" i="4"/>
  <c r="J21" i="4"/>
  <c r="J20" i="4"/>
  <c r="J19" i="4"/>
  <c r="J18" i="4"/>
  <c r="J17" i="4"/>
  <c r="J16" i="4"/>
  <c r="J15" i="4"/>
  <c r="J14" i="4"/>
  <c r="J13" i="4"/>
  <c r="J12" i="4"/>
  <c r="J11" i="4"/>
  <c r="J10" i="4"/>
  <c r="J9" i="4"/>
  <c r="J8" i="4"/>
  <c r="J7" i="4"/>
  <c r="J6" i="4"/>
  <c r="J5" i="4"/>
  <c r="J4" i="4"/>
  <c r="J26" i="3"/>
  <c r="J25" i="3"/>
  <c r="J24" i="3"/>
  <c r="J23" i="3"/>
  <c r="J22" i="3"/>
  <c r="J21" i="3"/>
  <c r="J20" i="3"/>
  <c r="J19" i="3"/>
  <c r="J18" i="3"/>
  <c r="J17" i="3"/>
  <c r="J16" i="3"/>
  <c r="J15" i="3"/>
  <c r="J14" i="3"/>
  <c r="J13" i="3"/>
  <c r="J12" i="3"/>
  <c r="J11" i="3"/>
  <c r="J10" i="3"/>
  <c r="J9" i="3"/>
  <c r="J8" i="3"/>
  <c r="J7" i="3"/>
  <c r="J6" i="3"/>
  <c r="J5" i="3"/>
  <c r="J4" i="3"/>
  <c r="R12" i="3"/>
  <c r="R11" i="3"/>
  <c r="R10" i="3"/>
  <c r="L12" i="4" l="1"/>
  <c r="L16" i="4"/>
  <c r="L20" i="4"/>
  <c r="L24" i="4"/>
  <c r="L8" i="4"/>
  <c r="L5" i="4"/>
  <c r="L9" i="4"/>
  <c r="L13" i="4"/>
  <c r="L17" i="4"/>
  <c r="L21" i="4"/>
  <c r="L25" i="4"/>
  <c r="L11" i="4"/>
  <c r="L4" i="4"/>
  <c r="L6" i="4"/>
  <c r="L10" i="4"/>
  <c r="L14" i="4"/>
  <c r="L18" i="4"/>
  <c r="L22" i="4"/>
  <c r="L26" i="4"/>
  <c r="L7" i="4"/>
  <c r="L15" i="4"/>
  <c r="L19" i="4"/>
  <c r="L23" i="4"/>
  <c r="L23" i="3"/>
  <c r="L8" i="3"/>
  <c r="L16" i="3"/>
  <c r="L20" i="3"/>
  <c r="L24" i="3"/>
  <c r="L11" i="3"/>
  <c r="L19" i="3"/>
  <c r="L4" i="3"/>
  <c r="L12" i="3"/>
  <c r="L5" i="3"/>
  <c r="L9" i="3"/>
  <c r="L13" i="3"/>
  <c r="L17" i="3"/>
  <c r="L21" i="3"/>
  <c r="L25" i="3"/>
  <c r="L7" i="3"/>
  <c r="L15" i="3"/>
  <c r="L6" i="3"/>
  <c r="L10" i="3"/>
  <c r="L14" i="3"/>
  <c r="L18" i="3"/>
  <c r="L22" i="3"/>
  <c r="L26" i="3"/>
  <c r="N4" i="3"/>
  <c r="N4" i="4"/>
  <c r="O4" i="4"/>
  <c r="T10" i="3"/>
  <c r="U10" i="3" l="1"/>
  <c r="V10" i="3" s="1"/>
  <c r="R18" i="3" s="1"/>
  <c r="O4" i="3"/>
  <c r="L26" i="2"/>
  <c r="L25" i="2"/>
  <c r="L24" i="2"/>
  <c r="L23" i="2"/>
  <c r="L22" i="2"/>
  <c r="L21" i="2"/>
  <c r="L20" i="2"/>
  <c r="L19" i="2"/>
  <c r="L18" i="2"/>
  <c r="L17" i="2"/>
  <c r="L16" i="2"/>
  <c r="L15" i="2"/>
  <c r="L14" i="2"/>
  <c r="L13" i="2"/>
  <c r="L12" i="2"/>
  <c r="L11" i="2"/>
  <c r="L10" i="2"/>
  <c r="L9" i="2"/>
  <c r="L8" i="2"/>
  <c r="L7" i="2"/>
  <c r="L6" i="2"/>
  <c r="L5" i="2"/>
  <c r="L4" i="2"/>
  <c r="N7" i="2" l="1"/>
  <c r="N19" i="2"/>
  <c r="N23" i="2"/>
  <c r="N4" i="2"/>
  <c r="N8" i="2"/>
  <c r="N12" i="2"/>
  <c r="N16" i="2"/>
  <c r="N20" i="2"/>
  <c r="N24" i="2"/>
  <c r="N15" i="2"/>
  <c r="N9" i="2"/>
  <c r="N17" i="2"/>
  <c r="N21" i="2"/>
  <c r="N25" i="2"/>
  <c r="N11" i="2"/>
  <c r="N5" i="2"/>
  <c r="N13" i="2"/>
  <c r="N6" i="2"/>
  <c r="N10" i="2"/>
  <c r="N14" i="2"/>
  <c r="N18" i="2"/>
  <c r="N22" i="2"/>
  <c r="N26" i="2"/>
  <c r="R4" i="2"/>
  <c r="L223" i="5"/>
  <c r="L222" i="5"/>
  <c r="L221" i="5"/>
  <c r="L220" i="5"/>
  <c r="L219" i="5"/>
  <c r="L218" i="5"/>
  <c r="L217" i="5"/>
  <c r="L216" i="5"/>
  <c r="L215" i="5"/>
  <c r="L214" i="5"/>
  <c r="L213" i="5"/>
  <c r="L212" i="5"/>
  <c r="L211" i="5"/>
  <c r="L210" i="5"/>
  <c r="L209" i="5"/>
  <c r="L208" i="5"/>
  <c r="L207" i="5"/>
  <c r="L206" i="5"/>
  <c r="L205" i="5"/>
  <c r="L204" i="5"/>
  <c r="L203" i="5"/>
  <c r="L202" i="5"/>
  <c r="L201" i="5"/>
  <c r="L200" i="5"/>
  <c r="L199" i="5"/>
  <c r="L198" i="5"/>
  <c r="L197" i="5"/>
  <c r="L196" i="5"/>
  <c r="L195" i="5"/>
  <c r="L194" i="5"/>
  <c r="L193" i="5"/>
  <c r="L192" i="5"/>
  <c r="L191" i="5"/>
  <c r="L190" i="5"/>
  <c r="L189" i="5"/>
  <c r="L188" i="5"/>
  <c r="L187" i="5"/>
  <c r="L186" i="5"/>
  <c r="L185" i="5"/>
  <c r="L184" i="5"/>
  <c r="L183" i="5"/>
  <c r="L182" i="5"/>
  <c r="L181" i="5"/>
  <c r="L180" i="5"/>
  <c r="L179" i="5"/>
  <c r="L178" i="5"/>
  <c r="O209" i="5" l="1"/>
  <c r="O193" i="5"/>
  <c r="O178" i="5"/>
  <c r="R178" i="5"/>
  <c r="Q178" i="5"/>
  <c r="Q4" i="2"/>
  <c r="A4" i="5"/>
  <c r="A5" i="5" s="1"/>
  <c r="A6" i="5" s="1"/>
  <c r="A7" i="5" s="1"/>
  <c r="A8" i="5" s="1"/>
  <c r="A9" i="5" s="1"/>
  <c r="A10" i="5" s="1"/>
  <c r="A11" i="5" s="1"/>
  <c r="A12" i="5" s="1"/>
  <c r="A13" i="5" s="1"/>
  <c r="A14" i="5" s="1"/>
  <c r="A15" i="5" s="1"/>
  <c r="A16" i="5" s="1"/>
  <c r="A17" i="5" s="1"/>
  <c r="A18" i="5" s="1"/>
  <c r="A19" i="5" s="1"/>
  <c r="A210" i="5"/>
  <c r="A211" i="5" s="1"/>
  <c r="A212" i="5" s="1"/>
  <c r="A213" i="5" s="1"/>
  <c r="A214" i="5" s="1"/>
  <c r="A215" i="5" s="1"/>
  <c r="A216" i="5" s="1"/>
  <c r="A217" i="5" s="1"/>
  <c r="A218" i="5" s="1"/>
  <c r="A219" i="5" s="1"/>
  <c r="A220" i="5" s="1"/>
  <c r="A221" i="5" s="1"/>
  <c r="A222" i="5" s="1"/>
  <c r="A223" i="5" s="1"/>
  <c r="A194" i="5"/>
  <c r="A195" i="5" s="1"/>
  <c r="A196" i="5" s="1"/>
  <c r="A197" i="5" s="1"/>
  <c r="A198" i="5" s="1"/>
  <c r="A199" i="5" s="1"/>
  <c r="A200" i="5" s="1"/>
  <c r="A201" i="5" s="1"/>
  <c r="A202" i="5" s="1"/>
  <c r="A203" i="5" s="1"/>
  <c r="A204" i="5" s="1"/>
  <c r="A205" i="5" s="1"/>
  <c r="A206" i="5" s="1"/>
  <c r="A207" i="5" s="1"/>
  <c r="A208" i="5" s="1"/>
  <c r="A179" i="5"/>
  <c r="A180" i="5" s="1"/>
  <c r="A181" i="5" s="1"/>
  <c r="A182" i="5" s="1"/>
  <c r="A183" i="5" s="1"/>
  <c r="A184" i="5" s="1"/>
  <c r="A185" i="5" s="1"/>
  <c r="A186" i="5" s="1"/>
  <c r="A187" i="5" s="1"/>
  <c r="A188" i="5" s="1"/>
  <c r="A189" i="5" s="1"/>
  <c r="A190" i="5" s="1"/>
  <c r="A191" i="5" s="1"/>
  <c r="A192" i="5" s="1"/>
  <c r="A164" i="5"/>
  <c r="A165" i="5" s="1"/>
  <c r="A166" i="5" s="1"/>
  <c r="A167" i="5" s="1"/>
  <c r="A168" i="5" s="1"/>
  <c r="A169" i="5" s="1"/>
  <c r="A170" i="5" s="1"/>
  <c r="A171" i="5" s="1"/>
  <c r="A172" i="5" s="1"/>
  <c r="A173" i="5" s="1"/>
  <c r="A174" i="5" s="1"/>
  <c r="A175" i="5" s="1"/>
  <c r="A176" i="5" s="1"/>
  <c r="A177" i="5" s="1"/>
  <c r="L177" i="5" l="1"/>
  <c r="L176" i="5"/>
  <c r="L175" i="5"/>
  <c r="L174" i="5"/>
  <c r="L173" i="5"/>
  <c r="L172" i="5"/>
  <c r="L171" i="5"/>
  <c r="L170" i="5"/>
  <c r="L169" i="5"/>
  <c r="L168" i="5"/>
  <c r="L167" i="5"/>
  <c r="L166" i="5"/>
  <c r="L165" i="5"/>
  <c r="L164" i="5"/>
  <c r="L163" i="5"/>
  <c r="R163" i="5" l="1"/>
  <c r="O163" i="5"/>
  <c r="Q163" i="5" s="1"/>
  <c r="L19" i="5"/>
  <c r="L18" i="5"/>
  <c r="L17" i="5"/>
  <c r="L16" i="5"/>
  <c r="L15" i="5"/>
  <c r="L14" i="5"/>
  <c r="L13" i="5"/>
  <c r="L12" i="5"/>
  <c r="L11" i="5"/>
  <c r="L10" i="5"/>
  <c r="L9" i="5"/>
  <c r="L8" i="5"/>
  <c r="L7" i="5"/>
  <c r="L6" i="5"/>
  <c r="L5" i="5"/>
  <c r="L4" i="5"/>
  <c r="L3" i="5"/>
  <c r="R3" i="5" l="1"/>
  <c r="Q3" i="5"/>
  <c r="O3" i="5"/>
  <c r="J47" i="10" l="1"/>
  <c r="M77" i="10" s="1"/>
  <c r="O77" i="10" s="1"/>
  <c r="M43" i="10"/>
  <c r="O43" i="10" s="1"/>
  <c r="M42" i="10"/>
  <c r="M41" i="10"/>
  <c r="M40" i="10"/>
  <c r="O40" i="10" s="1"/>
  <c r="M39" i="10"/>
  <c r="O39" i="10" s="1"/>
  <c r="M38" i="10"/>
  <c r="M37" i="10"/>
  <c r="O37" i="10" s="1"/>
  <c r="M36" i="10"/>
  <c r="M35" i="10"/>
  <c r="O35" i="10" s="1"/>
  <c r="M34" i="10"/>
  <c r="M33" i="10"/>
  <c r="O33" i="10" s="1"/>
  <c r="M32" i="10"/>
  <c r="O32" i="10" s="1"/>
  <c r="M31" i="10"/>
  <c r="O31" i="10" s="1"/>
  <c r="M30" i="10"/>
  <c r="M29" i="10"/>
  <c r="O29" i="10" s="1"/>
  <c r="M28" i="10"/>
  <c r="O28" i="10" s="1"/>
  <c r="M27" i="10"/>
  <c r="O27" i="10" s="1"/>
  <c r="M26" i="10"/>
  <c r="M25" i="10"/>
  <c r="M23" i="10"/>
  <c r="O23" i="10" s="1"/>
  <c r="M22" i="10"/>
  <c r="M21" i="10"/>
  <c r="O21" i="10" s="1"/>
  <c r="M20" i="10"/>
  <c r="M19" i="10"/>
  <c r="O19" i="10" s="1"/>
  <c r="M18" i="10"/>
  <c r="O18" i="10" s="1"/>
  <c r="M17" i="10"/>
  <c r="O17" i="10" s="1"/>
  <c r="M16" i="10"/>
  <c r="M15" i="10"/>
  <c r="M14" i="10"/>
  <c r="O14" i="10" s="1"/>
  <c r="M13" i="10"/>
  <c r="O13" i="10" s="1"/>
  <c r="M12" i="10"/>
  <c r="M11" i="10"/>
  <c r="M10" i="10"/>
  <c r="O10" i="10" s="1"/>
  <c r="M9" i="10"/>
  <c r="O9" i="10" s="1"/>
  <c r="M8" i="10"/>
  <c r="M7" i="10"/>
  <c r="M6" i="10"/>
  <c r="O6" i="10" s="1"/>
  <c r="M5" i="10"/>
  <c r="O5" i="10" s="1"/>
  <c r="M4" i="10"/>
  <c r="O4" i="10" s="1"/>
  <c r="N92" i="9"/>
  <c r="N95" i="9"/>
  <c r="N94" i="9"/>
  <c r="N93"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N34" i="9"/>
  <c r="N33" i="9"/>
  <c r="N32" i="9"/>
  <c r="N31" i="9"/>
  <c r="N30" i="9"/>
  <c r="N29" i="9"/>
  <c r="N28" i="9"/>
  <c r="N27" i="9"/>
  <c r="N26" i="9"/>
  <c r="N25" i="9"/>
  <c r="N24" i="9"/>
  <c r="N23" i="9"/>
  <c r="N22" i="9"/>
  <c r="N21" i="9"/>
  <c r="N20" i="9"/>
  <c r="N19" i="9"/>
  <c r="N18" i="9"/>
  <c r="N17" i="9"/>
  <c r="N16" i="9"/>
  <c r="N15" i="9"/>
  <c r="N14" i="9"/>
  <c r="N13" i="9"/>
  <c r="N12" i="9"/>
  <c r="N11" i="9"/>
  <c r="N10" i="9"/>
  <c r="N9" i="9"/>
  <c r="N8" i="9"/>
  <c r="N7" i="9"/>
  <c r="N6" i="9"/>
  <c r="N5" i="9"/>
  <c r="N4" i="9"/>
  <c r="N3" i="9"/>
  <c r="N2" i="9"/>
  <c r="O36" i="10" l="1"/>
  <c r="O22" i="10"/>
  <c r="O41" i="10"/>
  <c r="O24" i="9"/>
  <c r="O2" i="9"/>
  <c r="T8" i="9"/>
  <c r="S8" i="9"/>
  <c r="R8" i="9"/>
  <c r="Q6" i="9"/>
  <c r="T9" i="9"/>
  <c r="S9" i="9"/>
  <c r="R9" i="9"/>
  <c r="Q9" i="9"/>
  <c r="Q8" i="9"/>
  <c r="Q7" i="9"/>
  <c r="O64" i="9"/>
  <c r="O45" i="9"/>
  <c r="S7" i="9"/>
  <c r="T7" i="9"/>
  <c r="R7" i="9"/>
  <c r="Q5" i="9"/>
  <c r="T5" i="9"/>
  <c r="R5" i="9"/>
  <c r="S5" i="9"/>
  <c r="T6" i="9"/>
  <c r="S6" i="9"/>
  <c r="R6" i="9"/>
  <c r="M64" i="10"/>
  <c r="O64" i="10" s="1"/>
  <c r="O7" i="10"/>
  <c r="O11" i="10"/>
  <c r="O15" i="10"/>
  <c r="M52" i="10"/>
  <c r="O52" i="10" s="1"/>
  <c r="M68" i="10"/>
  <c r="O68" i="10" s="1"/>
  <c r="M56" i="10"/>
  <c r="O56" i="10" s="1"/>
  <c r="M72" i="10"/>
  <c r="M60" i="10"/>
  <c r="M76" i="10"/>
  <c r="O76" i="10" s="1"/>
  <c r="O26" i="10"/>
  <c r="O42" i="10"/>
  <c r="O8" i="10"/>
  <c r="O12" i="10"/>
  <c r="O16" i="10"/>
  <c r="O30" i="10"/>
  <c r="O60" i="10"/>
  <c r="O20" i="10"/>
  <c r="O34" i="10"/>
  <c r="O72" i="10"/>
  <c r="O25" i="10"/>
  <c r="O38" i="10"/>
  <c r="M51" i="10"/>
  <c r="M55" i="10"/>
  <c r="M59" i="10"/>
  <c r="M63" i="10"/>
  <c r="M67" i="10"/>
  <c r="M71" i="10"/>
  <c r="M75" i="10"/>
  <c r="M79" i="10"/>
  <c r="M50" i="10"/>
  <c r="M54" i="10"/>
  <c r="M58" i="10"/>
  <c r="M62" i="10"/>
  <c r="M66" i="10"/>
  <c r="M70" i="10"/>
  <c r="M74" i="10"/>
  <c r="M78" i="10"/>
  <c r="M48" i="10"/>
  <c r="M49" i="10"/>
  <c r="M53" i="10"/>
  <c r="M57" i="10"/>
  <c r="M61" i="10"/>
  <c r="M65" i="10"/>
  <c r="M69" i="10"/>
  <c r="M73" i="10"/>
  <c r="O79" i="9"/>
  <c r="R4" i="10" l="1"/>
  <c r="O61" i="10"/>
  <c r="O48" i="10"/>
  <c r="O66" i="10"/>
  <c r="O50" i="10"/>
  <c r="O67" i="10"/>
  <c r="O51" i="10"/>
  <c r="R25" i="10"/>
  <c r="O73" i="10"/>
  <c r="O57" i="10"/>
  <c r="O78" i="10"/>
  <c r="O62" i="10"/>
  <c r="O79" i="10"/>
  <c r="O63" i="10"/>
  <c r="O69" i="10"/>
  <c r="O53" i="10"/>
  <c r="O74" i="10"/>
  <c r="O58" i="10"/>
  <c r="O75" i="10"/>
  <c r="O59" i="10"/>
  <c r="O65" i="10"/>
  <c r="O49" i="10"/>
  <c r="O70" i="10"/>
  <c r="O54" i="10"/>
  <c r="O71" i="10"/>
  <c r="O55" i="10"/>
  <c r="L161" i="5"/>
  <c r="L160" i="5"/>
  <c r="L159" i="5"/>
  <c r="L158" i="5"/>
  <c r="L157" i="5"/>
  <c r="L156" i="5"/>
  <c r="L155" i="5"/>
  <c r="L154" i="5"/>
  <c r="L153" i="5"/>
  <c r="L152" i="5"/>
  <c r="L151" i="5"/>
  <c r="L150" i="5"/>
  <c r="L149" i="5"/>
  <c r="L148" i="5"/>
  <c r="L147" i="5"/>
  <c r="L146" i="5"/>
  <c r="L145" i="5"/>
  <c r="L144" i="5"/>
  <c r="L143" i="5"/>
  <c r="L142" i="5"/>
  <c r="L141" i="5"/>
  <c r="L140" i="5"/>
  <c r="L139" i="5"/>
  <c r="L138" i="5"/>
  <c r="L137" i="5"/>
  <c r="L136" i="5"/>
  <c r="L135" i="5"/>
  <c r="L134" i="5"/>
  <c r="L133" i="5"/>
  <c r="L132" i="5"/>
  <c r="L131" i="5"/>
  <c r="L130" i="5"/>
  <c r="L129" i="5"/>
  <c r="L128" i="5"/>
  <c r="L127" i="5"/>
  <c r="L126" i="5"/>
  <c r="L125" i="5"/>
  <c r="L124" i="5"/>
  <c r="L123" i="5"/>
  <c r="L122" i="5"/>
  <c r="L121" i="5"/>
  <c r="L120" i="5"/>
  <c r="L119" i="5"/>
  <c r="L118" i="5"/>
  <c r="L117" i="5"/>
  <c r="L116" i="5"/>
  <c r="L115" i="5"/>
  <c r="L114" i="5"/>
  <c r="L113" i="5"/>
  <c r="L112" i="5"/>
  <c r="L111" i="5"/>
  <c r="L110" i="5"/>
  <c r="L109" i="5"/>
  <c r="L108" i="5"/>
  <c r="L107" i="5"/>
  <c r="L106" i="5"/>
  <c r="L105" i="5"/>
  <c r="L104" i="5"/>
  <c r="L103" i="5"/>
  <c r="L102" i="5"/>
  <c r="L101" i="5"/>
  <c r="L100" i="5"/>
  <c r="L99" i="5"/>
  <c r="L98" i="5"/>
  <c r="L97" i="5"/>
  <c r="L96" i="5"/>
  <c r="L95" i="5"/>
  <c r="L94" i="5"/>
  <c r="L93" i="5"/>
  <c r="L92" i="5"/>
  <c r="L91" i="5"/>
  <c r="L90" i="5"/>
  <c r="L89" i="5"/>
  <c r="L88" i="5"/>
  <c r="L87" i="5"/>
  <c r="L86" i="5"/>
  <c r="L85" i="5"/>
  <c r="L84" i="5"/>
  <c r="L83" i="5"/>
  <c r="L82" i="5"/>
  <c r="L81" i="5"/>
  <c r="L80" i="5"/>
  <c r="L79" i="5"/>
  <c r="L78" i="5"/>
  <c r="L77" i="5"/>
  <c r="L76" i="5"/>
  <c r="L75" i="5"/>
  <c r="L74" i="5"/>
  <c r="L73" i="5"/>
  <c r="L72" i="5"/>
  <c r="L71" i="5"/>
  <c r="L70" i="5"/>
  <c r="L69" i="5"/>
  <c r="L68" i="5"/>
  <c r="L67" i="5"/>
  <c r="L66" i="5"/>
  <c r="L65" i="5"/>
  <c r="L64" i="5"/>
  <c r="L63" i="5"/>
  <c r="L62" i="5"/>
  <c r="L61" i="5"/>
  <c r="L60" i="5"/>
  <c r="L59" i="5"/>
  <c r="L58" i="5"/>
  <c r="L57" i="5"/>
  <c r="L56" i="5"/>
  <c r="L55" i="5"/>
  <c r="L54" i="5"/>
  <c r="L53" i="5"/>
  <c r="L52" i="5"/>
  <c r="L51" i="5"/>
  <c r="L50" i="5"/>
  <c r="L49" i="5"/>
  <c r="L48" i="5"/>
  <c r="L47" i="5"/>
  <c r="L46" i="5"/>
  <c r="L45" i="5"/>
  <c r="L44" i="5"/>
  <c r="L43" i="5"/>
  <c r="L42" i="5"/>
  <c r="L41" i="5"/>
  <c r="L40" i="5"/>
  <c r="L39" i="5"/>
  <c r="L38" i="5"/>
  <c r="L37" i="5"/>
  <c r="L36" i="5"/>
  <c r="L35" i="5"/>
  <c r="L34" i="5"/>
  <c r="L33" i="5"/>
  <c r="L32" i="5"/>
  <c r="L31" i="5"/>
  <c r="L30" i="5"/>
  <c r="L29" i="5"/>
  <c r="L28" i="5"/>
  <c r="L27" i="5"/>
  <c r="L26" i="5"/>
  <c r="L25" i="5"/>
  <c r="L24" i="5"/>
  <c r="L23" i="5"/>
  <c r="L22" i="5"/>
  <c r="L21" i="5"/>
  <c r="L20" i="5"/>
  <c r="R20" i="5" l="1"/>
  <c r="Q20" i="5"/>
  <c r="R145" i="5"/>
  <c r="R68" i="5"/>
  <c r="R48" i="5"/>
  <c r="Q48" i="5"/>
  <c r="R130" i="5"/>
  <c r="O111" i="5"/>
  <c r="R111" i="5"/>
  <c r="R48" i="10"/>
  <c r="O20" i="5"/>
  <c r="O48" i="5"/>
  <c r="O68" i="5"/>
  <c r="O145" i="5"/>
  <c r="O130" i="5"/>
  <c r="Q68" i="5" l="1"/>
  <c r="Q130" i="5" l="1"/>
  <c r="Q145" i="5"/>
  <c r="Q111" i="5"/>
  <c r="L128" i="2"/>
  <c r="L127" i="2"/>
  <c r="L126" i="2"/>
  <c r="L125" i="2"/>
  <c r="L124" i="2"/>
  <c r="L123" i="2"/>
  <c r="L122" i="2"/>
  <c r="L121" i="2"/>
  <c r="L120" i="2"/>
  <c r="L119" i="2"/>
  <c r="L118" i="2"/>
  <c r="L117" i="2"/>
  <c r="L116" i="2"/>
  <c r="L115" i="2"/>
  <c r="L114" i="2"/>
  <c r="L113" i="2"/>
  <c r="L112" i="2"/>
  <c r="L111" i="2"/>
  <c r="L110" i="2"/>
  <c r="L108" i="2"/>
  <c r="L107" i="2"/>
  <c r="L106" i="2"/>
  <c r="L105" i="2"/>
  <c r="L104" i="2"/>
  <c r="L103" i="2"/>
  <c r="L102" i="2"/>
  <c r="L101" i="2"/>
  <c r="L100" i="2"/>
  <c r="L99" i="2"/>
  <c r="L98" i="2"/>
  <c r="L97" i="2"/>
  <c r="L96" i="2"/>
  <c r="L95" i="2"/>
  <c r="L94" i="2"/>
  <c r="L93" i="2"/>
  <c r="L92" i="2"/>
  <c r="L91" i="2"/>
  <c r="L90" i="2"/>
  <c r="L89" i="2"/>
  <c r="N95" i="2" l="1"/>
  <c r="N107" i="2"/>
  <c r="N112" i="2"/>
  <c r="N120" i="2"/>
  <c r="N124" i="2"/>
  <c r="N128" i="2"/>
  <c r="N92" i="2"/>
  <c r="N96" i="2"/>
  <c r="N100" i="2"/>
  <c r="N104" i="2"/>
  <c r="N108" i="2"/>
  <c r="N113" i="2"/>
  <c r="N117" i="2"/>
  <c r="N121" i="2"/>
  <c r="N125" i="2"/>
  <c r="N99" i="2"/>
  <c r="N89" i="2"/>
  <c r="N97" i="2"/>
  <c r="N105" i="2"/>
  <c r="N110" i="2"/>
  <c r="N114" i="2"/>
  <c r="N118" i="2"/>
  <c r="N122" i="2"/>
  <c r="N126" i="2"/>
  <c r="N91" i="2"/>
  <c r="N103" i="2"/>
  <c r="N116" i="2"/>
  <c r="N93" i="2"/>
  <c r="N101" i="2"/>
  <c r="N90" i="2"/>
  <c r="N94" i="2"/>
  <c r="N98" i="2"/>
  <c r="N102" i="2"/>
  <c r="N106" i="2"/>
  <c r="N111" i="2"/>
  <c r="N115" i="2"/>
  <c r="N119" i="2"/>
  <c r="N123" i="2"/>
  <c r="N127" i="2"/>
  <c r="R89" i="2"/>
  <c r="Q142" i="4"/>
  <c r="Q141" i="4"/>
  <c r="Q140" i="4"/>
  <c r="Q121" i="4"/>
  <c r="Q120" i="4"/>
  <c r="Q119" i="4"/>
  <c r="Q101" i="4"/>
  <c r="Q100" i="4"/>
  <c r="Q99" i="4"/>
  <c r="Q79" i="4"/>
  <c r="Q78" i="4"/>
  <c r="Q77" i="4"/>
  <c r="Q57" i="4"/>
  <c r="Q56" i="4"/>
  <c r="Q55" i="4"/>
  <c r="Q37" i="4"/>
  <c r="Q36" i="4"/>
  <c r="Q35" i="4"/>
  <c r="R110" i="2" l="1"/>
  <c r="Q89" i="2"/>
  <c r="Q110" i="2"/>
  <c r="S119" i="4"/>
  <c r="T119" i="4" s="1"/>
  <c r="U119" i="4" s="1"/>
  <c r="Q127" i="4" s="1"/>
  <c r="S140" i="4"/>
  <c r="T140" i="4" s="1"/>
  <c r="U140" i="4" s="1"/>
  <c r="Q148" i="4" s="1"/>
  <c r="S77" i="4"/>
  <c r="T77" i="4" s="1"/>
  <c r="U77" i="4" s="1"/>
  <c r="Q85" i="4" s="1"/>
  <c r="S55" i="4"/>
  <c r="T55" i="4" s="1"/>
  <c r="U55" i="4" s="1"/>
  <c r="Q63" i="4" s="1"/>
  <c r="S99" i="4"/>
  <c r="T99" i="4" s="1"/>
  <c r="U99" i="4" s="1"/>
  <c r="Q107" i="4" s="1"/>
  <c r="S35" i="4"/>
  <c r="T35" i="4" s="1"/>
  <c r="U35" i="4" s="1"/>
  <c r="Q43" i="4" s="1"/>
  <c r="J167" i="4" l="1"/>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3" i="4"/>
  <c r="J132" i="4"/>
  <c r="J131" i="4"/>
  <c r="J130" i="4"/>
  <c r="J129" i="4"/>
  <c r="J128" i="4"/>
  <c r="J127" i="4"/>
  <c r="J126" i="4"/>
  <c r="J125" i="4"/>
  <c r="J124" i="4"/>
  <c r="J123" i="4"/>
  <c r="J122" i="4"/>
  <c r="J121" i="4"/>
  <c r="J120" i="4"/>
  <c r="J119" i="4"/>
  <c r="J118" i="4"/>
  <c r="J117" i="4"/>
  <c r="J116" i="4"/>
  <c r="J115" i="4"/>
  <c r="J112" i="4"/>
  <c r="J111" i="4"/>
  <c r="J110" i="4"/>
  <c r="J109" i="4"/>
  <c r="J108" i="4"/>
  <c r="J107" i="4"/>
  <c r="J106" i="4"/>
  <c r="J105" i="4"/>
  <c r="J104" i="4"/>
  <c r="J103" i="4"/>
  <c r="J102" i="4"/>
  <c r="J101" i="4"/>
  <c r="J100" i="4"/>
  <c r="J99" i="4"/>
  <c r="J98" i="4"/>
  <c r="J97" i="4"/>
  <c r="J96" i="4"/>
  <c r="J95" i="4"/>
  <c r="J94" i="4"/>
  <c r="J91" i="4"/>
  <c r="J90" i="4"/>
  <c r="J89" i="4"/>
  <c r="J88" i="4"/>
  <c r="J87" i="4"/>
  <c r="J86" i="4"/>
  <c r="J85" i="4"/>
  <c r="J84" i="4"/>
  <c r="J83" i="4"/>
  <c r="J82" i="4"/>
  <c r="J81" i="4"/>
  <c r="J80" i="4"/>
  <c r="J79" i="4"/>
  <c r="J78" i="4"/>
  <c r="J77" i="4"/>
  <c r="J76" i="4"/>
  <c r="J75" i="4"/>
  <c r="J74" i="4"/>
  <c r="J73" i="4"/>
  <c r="J70" i="4"/>
  <c r="J69" i="4"/>
  <c r="J68" i="4"/>
  <c r="J67" i="4"/>
  <c r="J66" i="4"/>
  <c r="J65" i="4"/>
  <c r="J64" i="4"/>
  <c r="J63" i="4"/>
  <c r="J62" i="4"/>
  <c r="J61" i="4"/>
  <c r="J60" i="4"/>
  <c r="J59" i="4"/>
  <c r="J58" i="4"/>
  <c r="J57" i="4"/>
  <c r="J56" i="4"/>
  <c r="J55" i="4"/>
  <c r="J54" i="4"/>
  <c r="J53" i="4"/>
  <c r="J52" i="4"/>
  <c r="J51" i="4"/>
  <c r="J48" i="4"/>
  <c r="J47" i="4"/>
  <c r="J46" i="4"/>
  <c r="J45" i="4"/>
  <c r="J44" i="4"/>
  <c r="J43" i="4"/>
  <c r="J42" i="4"/>
  <c r="J41" i="4"/>
  <c r="J40" i="4"/>
  <c r="J39" i="4"/>
  <c r="J38" i="4"/>
  <c r="J37" i="4"/>
  <c r="J36" i="4"/>
  <c r="J35" i="4"/>
  <c r="J34" i="4"/>
  <c r="J33" i="4"/>
  <c r="J32" i="4"/>
  <c r="J31" i="4"/>
  <c r="J30" i="4"/>
  <c r="J166" i="3"/>
  <c r="J165" i="3"/>
  <c r="J164" i="3"/>
  <c r="J163" i="3"/>
  <c r="J162" i="3"/>
  <c r="J161" i="3"/>
  <c r="J160" i="3"/>
  <c r="J159" i="3"/>
  <c r="J158" i="3"/>
  <c r="J157" i="3"/>
  <c r="J156" i="3"/>
  <c r="J155" i="3"/>
  <c r="J154" i="3"/>
  <c r="J153" i="3"/>
  <c r="J152" i="3"/>
  <c r="J151" i="3"/>
  <c r="J150" i="3"/>
  <c r="J149" i="3"/>
  <c r="J148" i="3"/>
  <c r="J147" i="3"/>
  <c r="J146" i="3"/>
  <c r="J145" i="3"/>
  <c r="J144" i="3"/>
  <c r="J143" i="3"/>
  <c r="J142" i="3"/>
  <c r="J141" i="3"/>
  <c r="J140" i="3"/>
  <c r="J139" i="3"/>
  <c r="J138" i="3"/>
  <c r="J137" i="3"/>
  <c r="J136" i="3"/>
  <c r="J135" i="3"/>
  <c r="J132" i="3"/>
  <c r="J131" i="3"/>
  <c r="J130" i="3"/>
  <c r="J129" i="3"/>
  <c r="J128" i="3"/>
  <c r="J127" i="3"/>
  <c r="J126" i="3"/>
  <c r="J125" i="3"/>
  <c r="J124" i="3"/>
  <c r="J123" i="3"/>
  <c r="J122" i="3"/>
  <c r="J121" i="3"/>
  <c r="J120" i="3"/>
  <c r="J119" i="3"/>
  <c r="J118" i="3"/>
  <c r="J117" i="3"/>
  <c r="J116" i="3"/>
  <c r="J115" i="3"/>
  <c r="J114" i="3"/>
  <c r="J111" i="3"/>
  <c r="J110" i="3"/>
  <c r="J109" i="3"/>
  <c r="J108" i="3"/>
  <c r="J107" i="3"/>
  <c r="J106" i="3"/>
  <c r="J105" i="3"/>
  <c r="J104" i="3"/>
  <c r="J103" i="3"/>
  <c r="J102" i="3"/>
  <c r="J101" i="3"/>
  <c r="J100" i="3"/>
  <c r="J99" i="3"/>
  <c r="J98" i="3"/>
  <c r="J97" i="3"/>
  <c r="J96" i="3"/>
  <c r="J95" i="3"/>
  <c r="J94" i="3"/>
  <c r="J93" i="3"/>
  <c r="R150" i="3"/>
  <c r="R149" i="3"/>
  <c r="R148" i="3"/>
  <c r="J90" i="3"/>
  <c r="J89" i="3"/>
  <c r="J88" i="3"/>
  <c r="J87" i="3"/>
  <c r="J86" i="3"/>
  <c r="J85" i="3"/>
  <c r="J84" i="3"/>
  <c r="J83" i="3"/>
  <c r="J82" i="3"/>
  <c r="J81" i="3"/>
  <c r="J80" i="3"/>
  <c r="J79" i="3"/>
  <c r="J78" i="3"/>
  <c r="J77" i="3"/>
  <c r="J76" i="3"/>
  <c r="J75" i="3"/>
  <c r="J74" i="3"/>
  <c r="J73" i="3"/>
  <c r="J72" i="3"/>
  <c r="J69" i="3"/>
  <c r="J68" i="3"/>
  <c r="J67" i="3"/>
  <c r="J66" i="3"/>
  <c r="J65" i="3"/>
  <c r="J64" i="3"/>
  <c r="J63" i="3"/>
  <c r="J62" i="3"/>
  <c r="J61" i="3"/>
  <c r="J60" i="3"/>
  <c r="J59" i="3"/>
  <c r="J58" i="3"/>
  <c r="J57" i="3"/>
  <c r="J56" i="3"/>
  <c r="J55" i="3"/>
  <c r="J54" i="3"/>
  <c r="J53" i="3"/>
  <c r="J52" i="3"/>
  <c r="J51" i="3"/>
  <c r="J50" i="3"/>
  <c r="J47" i="3"/>
  <c r="J46" i="3"/>
  <c r="J45" i="3"/>
  <c r="J44" i="3"/>
  <c r="J43" i="3"/>
  <c r="J42" i="3"/>
  <c r="J41" i="3"/>
  <c r="J40" i="3"/>
  <c r="J39" i="3"/>
  <c r="J38" i="3"/>
  <c r="J37" i="3"/>
  <c r="J36" i="3"/>
  <c r="J35" i="3"/>
  <c r="J34" i="3"/>
  <c r="J33" i="3"/>
  <c r="J32" i="3"/>
  <c r="J31" i="3"/>
  <c r="J30" i="3"/>
  <c r="J29" i="3"/>
  <c r="L30" i="4" l="1"/>
  <c r="L34" i="4"/>
  <c r="L38" i="4"/>
  <c r="L42" i="4"/>
  <c r="L46" i="4"/>
  <c r="L52" i="4"/>
  <c r="L56" i="4"/>
  <c r="L60" i="4"/>
  <c r="L64" i="4"/>
  <c r="L68" i="4"/>
  <c r="L74" i="4"/>
  <c r="L78" i="4"/>
  <c r="L82" i="4"/>
  <c r="L86" i="4"/>
  <c r="L90" i="4"/>
  <c r="L96" i="4"/>
  <c r="L100" i="4"/>
  <c r="L104" i="4"/>
  <c r="L108" i="4"/>
  <c r="L112" i="4"/>
  <c r="L118" i="4"/>
  <c r="L122" i="4"/>
  <c r="L126" i="4"/>
  <c r="L130" i="4"/>
  <c r="L136" i="4"/>
  <c r="L140" i="4"/>
  <c r="L144" i="4"/>
  <c r="L148" i="4"/>
  <c r="L152" i="4"/>
  <c r="L156" i="4"/>
  <c r="L160" i="4"/>
  <c r="L164" i="4"/>
  <c r="L31" i="4"/>
  <c r="L35" i="4"/>
  <c r="L39" i="4"/>
  <c r="L43" i="4"/>
  <c r="L47" i="4"/>
  <c r="L53" i="4"/>
  <c r="L57" i="4"/>
  <c r="L61" i="4"/>
  <c r="L65" i="4"/>
  <c r="L69" i="4"/>
  <c r="L75" i="4"/>
  <c r="L79" i="4"/>
  <c r="L83" i="4"/>
  <c r="L87" i="4"/>
  <c r="L91" i="4"/>
  <c r="L97" i="4"/>
  <c r="L101" i="4"/>
  <c r="L105" i="4"/>
  <c r="L109" i="4"/>
  <c r="L115" i="4"/>
  <c r="L119" i="4"/>
  <c r="L123" i="4"/>
  <c r="L127" i="4"/>
  <c r="L131" i="4"/>
  <c r="L137" i="4"/>
  <c r="L141" i="4"/>
  <c r="L145" i="4"/>
  <c r="L149" i="4"/>
  <c r="L153" i="4"/>
  <c r="L157" i="4"/>
  <c r="L161" i="4"/>
  <c r="L165" i="4"/>
  <c r="L32" i="4"/>
  <c r="L36" i="4"/>
  <c r="L40" i="4"/>
  <c r="L44" i="4"/>
  <c r="L48" i="4"/>
  <c r="L54" i="4"/>
  <c r="L58" i="4"/>
  <c r="L62" i="4"/>
  <c r="L66" i="4"/>
  <c r="L70" i="4"/>
  <c r="L76" i="4"/>
  <c r="L80" i="4"/>
  <c r="L84" i="4"/>
  <c r="L88" i="4"/>
  <c r="L94" i="4"/>
  <c r="L98" i="4"/>
  <c r="L102" i="4"/>
  <c r="L106" i="4"/>
  <c r="L110" i="4"/>
  <c r="L116" i="4"/>
  <c r="L120" i="4"/>
  <c r="L124" i="4"/>
  <c r="L128" i="4"/>
  <c r="L132" i="4"/>
  <c r="L138" i="4"/>
  <c r="L142" i="4"/>
  <c r="L146" i="4"/>
  <c r="L150" i="4"/>
  <c r="L154" i="4"/>
  <c r="L158" i="4"/>
  <c r="L162" i="4"/>
  <c r="L166" i="4"/>
  <c r="L33" i="4"/>
  <c r="L37" i="4"/>
  <c r="L41" i="4"/>
  <c r="L45" i="4"/>
  <c r="L51" i="4"/>
  <c r="L55" i="4"/>
  <c r="L59" i="4"/>
  <c r="L63" i="4"/>
  <c r="L67" i="4"/>
  <c r="L73" i="4"/>
  <c r="L77" i="4"/>
  <c r="L81" i="4"/>
  <c r="L85" i="4"/>
  <c r="L89" i="4"/>
  <c r="L95" i="4"/>
  <c r="L99" i="4"/>
  <c r="L103" i="4"/>
  <c r="L107" i="4"/>
  <c r="L111" i="4"/>
  <c r="L117" i="4"/>
  <c r="O115" i="4" s="1"/>
  <c r="L121" i="4"/>
  <c r="L125" i="4"/>
  <c r="L129" i="4"/>
  <c r="L133" i="4"/>
  <c r="L139" i="4"/>
  <c r="L143" i="4"/>
  <c r="L147" i="4"/>
  <c r="L151" i="4"/>
  <c r="L155" i="4"/>
  <c r="L159" i="4"/>
  <c r="L163" i="4"/>
  <c r="L167" i="4"/>
  <c r="L32" i="3"/>
  <c r="L44" i="3"/>
  <c r="L58" i="3"/>
  <c r="L76" i="3"/>
  <c r="L103" i="3"/>
  <c r="L117" i="3"/>
  <c r="L129" i="3"/>
  <c r="L143" i="3"/>
  <c r="L163" i="3"/>
  <c r="L33" i="3"/>
  <c r="L37" i="3"/>
  <c r="L41" i="3"/>
  <c r="L45" i="3"/>
  <c r="L51" i="3"/>
  <c r="L55" i="3"/>
  <c r="L59" i="3"/>
  <c r="L63" i="3"/>
  <c r="L67" i="3"/>
  <c r="L73" i="3"/>
  <c r="L77" i="3"/>
  <c r="L81" i="3"/>
  <c r="L85" i="3"/>
  <c r="L89" i="3"/>
  <c r="L96" i="3"/>
  <c r="L100" i="3"/>
  <c r="L104" i="3"/>
  <c r="L108" i="3"/>
  <c r="L114" i="3"/>
  <c r="L118" i="3"/>
  <c r="L122" i="3"/>
  <c r="L126" i="3"/>
  <c r="L130" i="3"/>
  <c r="L136" i="3"/>
  <c r="L140" i="3"/>
  <c r="L144" i="3"/>
  <c r="L148" i="3"/>
  <c r="L152" i="3"/>
  <c r="L156" i="3"/>
  <c r="L160" i="3"/>
  <c r="L164" i="3"/>
  <c r="L40" i="3"/>
  <c r="L54" i="3"/>
  <c r="L66" i="3"/>
  <c r="L80" i="3"/>
  <c r="L84" i="3"/>
  <c r="L95" i="3"/>
  <c r="L107" i="3"/>
  <c r="L121" i="3"/>
  <c r="L135" i="3"/>
  <c r="L147" i="3"/>
  <c r="L155" i="3"/>
  <c r="L29" i="3"/>
  <c r="L30" i="3"/>
  <c r="L34" i="3"/>
  <c r="L38" i="3"/>
  <c r="L42" i="3"/>
  <c r="L46" i="3"/>
  <c r="L52" i="3"/>
  <c r="L56" i="3"/>
  <c r="L60" i="3"/>
  <c r="L64" i="3"/>
  <c r="L68" i="3"/>
  <c r="L74" i="3"/>
  <c r="L78" i="3"/>
  <c r="L82" i="3"/>
  <c r="L86" i="3"/>
  <c r="L90" i="3"/>
  <c r="L93" i="3"/>
  <c r="L97" i="3"/>
  <c r="L101" i="3"/>
  <c r="L105" i="3"/>
  <c r="L109" i="3"/>
  <c r="L115" i="3"/>
  <c r="L119" i="3"/>
  <c r="L123" i="3"/>
  <c r="L127" i="3"/>
  <c r="L131" i="3"/>
  <c r="L137" i="3"/>
  <c r="L141" i="3"/>
  <c r="L145" i="3"/>
  <c r="L149" i="3"/>
  <c r="L153" i="3"/>
  <c r="L157" i="3"/>
  <c r="L161" i="3"/>
  <c r="L165" i="3"/>
  <c r="L36" i="3"/>
  <c r="L50" i="3"/>
  <c r="L62" i="3"/>
  <c r="L72" i="3"/>
  <c r="L88" i="3"/>
  <c r="L99" i="3"/>
  <c r="L111" i="3"/>
  <c r="L125" i="3"/>
  <c r="L139" i="3"/>
  <c r="L151" i="3"/>
  <c r="L159" i="3"/>
  <c r="L31" i="3"/>
  <c r="L35" i="3"/>
  <c r="L39" i="3"/>
  <c r="L43" i="3"/>
  <c r="L47" i="3"/>
  <c r="L53" i="3"/>
  <c r="L57" i="3"/>
  <c r="L61" i="3"/>
  <c r="L65" i="3"/>
  <c r="L69" i="3"/>
  <c r="L75" i="3"/>
  <c r="L79" i="3"/>
  <c r="L83" i="3"/>
  <c r="L87" i="3"/>
  <c r="L94" i="3"/>
  <c r="L98" i="3"/>
  <c r="L102" i="3"/>
  <c r="L106" i="3"/>
  <c r="L110" i="3"/>
  <c r="L116" i="3"/>
  <c r="L120" i="3"/>
  <c r="L124" i="3"/>
  <c r="L128" i="3"/>
  <c r="L132" i="3"/>
  <c r="L138" i="3"/>
  <c r="L142" i="3"/>
  <c r="L146" i="3"/>
  <c r="L150" i="3"/>
  <c r="L154" i="3"/>
  <c r="L158" i="3"/>
  <c r="L162" i="3"/>
  <c r="L166" i="3"/>
  <c r="N73" i="4"/>
  <c r="N51" i="4"/>
  <c r="T148" i="3"/>
  <c r="U148" i="3" s="1"/>
  <c r="V148" i="3" s="1"/>
  <c r="R156" i="3" s="1"/>
  <c r="R118" i="3"/>
  <c r="R117" i="3"/>
  <c r="R116" i="3"/>
  <c r="R101" i="3"/>
  <c r="R100" i="3"/>
  <c r="R99" i="3"/>
  <c r="R75" i="3"/>
  <c r="R74" i="3"/>
  <c r="R73" i="3"/>
  <c r="R53" i="3"/>
  <c r="R52" i="3"/>
  <c r="R51" i="3"/>
  <c r="R37" i="3"/>
  <c r="R36" i="3"/>
  <c r="R35" i="3"/>
  <c r="N115" i="4" l="1"/>
  <c r="O136" i="4"/>
  <c r="O94" i="4"/>
  <c r="O73" i="4"/>
  <c r="O51" i="4"/>
  <c r="O30" i="4"/>
  <c r="N94" i="4"/>
  <c r="N30" i="4"/>
  <c r="N136" i="4"/>
  <c r="O72" i="3"/>
  <c r="N135" i="3"/>
  <c r="N93" i="3"/>
  <c r="O114" i="3"/>
  <c r="N72" i="3"/>
  <c r="O135" i="3"/>
  <c r="O50" i="3"/>
  <c r="O29" i="3"/>
  <c r="O93" i="3"/>
  <c r="N29" i="3"/>
  <c r="N50" i="3"/>
  <c r="N114" i="3"/>
  <c r="T99" i="3"/>
  <c r="U99" i="3" s="1"/>
  <c r="V99" i="3" s="1"/>
  <c r="R107" i="3" s="1"/>
  <c r="T73" i="3"/>
  <c r="U73" i="3" s="1"/>
  <c r="V73" i="3" s="1"/>
  <c r="R81" i="3" s="1"/>
  <c r="T51" i="3"/>
  <c r="U51" i="3" s="1"/>
  <c r="V51" i="3" s="1"/>
  <c r="R59" i="3" s="1"/>
  <c r="T116" i="3"/>
  <c r="U116" i="3" s="1"/>
  <c r="V116" i="3" s="1"/>
  <c r="R124" i="3" s="1"/>
  <c r="T35" i="3"/>
  <c r="U35" i="3" s="1"/>
  <c r="V35" i="3" s="1"/>
  <c r="R43" i="3" s="1"/>
  <c r="J132" i="2"/>
  <c r="L87" i="2"/>
  <c r="L86" i="2"/>
  <c r="L85" i="2"/>
  <c r="L84" i="2"/>
  <c r="L83" i="2"/>
  <c r="L82" i="2"/>
  <c r="L81" i="2"/>
  <c r="L80" i="2"/>
  <c r="L79" i="2"/>
  <c r="L78" i="2"/>
  <c r="L77" i="2"/>
  <c r="L76" i="2"/>
  <c r="L75" i="2"/>
  <c r="L74" i="2"/>
  <c r="L73" i="2"/>
  <c r="L72" i="2"/>
  <c r="L71" i="2"/>
  <c r="L70" i="2"/>
  <c r="L69" i="2"/>
  <c r="L67" i="2"/>
  <c r="L66" i="2"/>
  <c r="L65" i="2"/>
  <c r="L64" i="2"/>
  <c r="L63" i="2"/>
  <c r="L62" i="2"/>
  <c r="L61" i="2"/>
  <c r="L60" i="2"/>
  <c r="L59" i="2"/>
  <c r="L58" i="2"/>
  <c r="L57" i="2"/>
  <c r="L56" i="2"/>
  <c r="L55" i="2"/>
  <c r="L54" i="2"/>
  <c r="L53" i="2"/>
  <c r="L52" i="2"/>
  <c r="L51" i="2"/>
  <c r="L50" i="2"/>
  <c r="L49" i="2"/>
  <c r="L48" i="2"/>
  <c r="L46" i="2"/>
  <c r="L45" i="2"/>
  <c r="L44" i="2"/>
  <c r="L43" i="2"/>
  <c r="L42" i="2"/>
  <c r="L41" i="2"/>
  <c r="L40" i="2"/>
  <c r="L39" i="2"/>
  <c r="L38" i="2"/>
  <c r="L37" i="2"/>
  <c r="L36" i="2"/>
  <c r="L35" i="2"/>
  <c r="L34" i="2"/>
  <c r="L33" i="2"/>
  <c r="L32" i="2"/>
  <c r="L31" i="2"/>
  <c r="L30" i="2"/>
  <c r="L29" i="2"/>
  <c r="L28" i="2"/>
  <c r="N58" i="2" l="1"/>
  <c r="N38" i="2"/>
  <c r="N32" i="2"/>
  <c r="N48" i="2"/>
  <c r="N63" i="2"/>
  <c r="N84" i="2"/>
  <c r="N29" i="2"/>
  <c r="N33" i="2"/>
  <c r="N37" i="2"/>
  <c r="N40" i="2"/>
  <c r="N44" i="2"/>
  <c r="N49" i="2"/>
  <c r="N53" i="2"/>
  <c r="N57" i="2"/>
  <c r="N60" i="2"/>
  <c r="N64" i="2"/>
  <c r="N69" i="2"/>
  <c r="N73" i="2"/>
  <c r="N77" i="2"/>
  <c r="N81" i="2"/>
  <c r="N85" i="2"/>
  <c r="N28" i="2"/>
  <c r="N36" i="2"/>
  <c r="N39" i="2"/>
  <c r="N43" i="2"/>
  <c r="N52" i="2"/>
  <c r="N56" i="2"/>
  <c r="N59" i="2"/>
  <c r="N67" i="2"/>
  <c r="N72" i="2"/>
  <c r="N76" i="2"/>
  <c r="N80" i="2"/>
  <c r="N30" i="2"/>
  <c r="N34" i="2"/>
  <c r="N41" i="2"/>
  <c r="N45" i="2"/>
  <c r="N50" i="2"/>
  <c r="N54" i="2"/>
  <c r="N61" i="2"/>
  <c r="N65" i="2"/>
  <c r="N70" i="2"/>
  <c r="N74" i="2"/>
  <c r="N78" i="2"/>
  <c r="N82" i="2"/>
  <c r="N86" i="2"/>
  <c r="L162" i="2"/>
  <c r="L158" i="2"/>
  <c r="L154" i="2"/>
  <c r="L150" i="2"/>
  <c r="L146" i="2"/>
  <c r="L142" i="2"/>
  <c r="L138" i="2"/>
  <c r="L134" i="2"/>
  <c r="L160" i="2"/>
  <c r="L152" i="2"/>
  <c r="L144" i="2"/>
  <c r="L136" i="2"/>
  <c r="L155" i="2"/>
  <c r="L147" i="2"/>
  <c r="L139" i="2"/>
  <c r="L135" i="2"/>
  <c r="L161" i="2"/>
  <c r="L157" i="2"/>
  <c r="L153" i="2"/>
  <c r="L149" i="2"/>
  <c r="L145" i="2"/>
  <c r="L141" i="2"/>
  <c r="L137" i="2"/>
  <c r="L133" i="2"/>
  <c r="L164" i="2"/>
  <c r="L156" i="2"/>
  <c r="L148" i="2"/>
  <c r="L140" i="2"/>
  <c r="L163" i="2"/>
  <c r="L159" i="2"/>
  <c r="L151" i="2"/>
  <c r="L143" i="2"/>
  <c r="N31" i="2"/>
  <c r="N35" i="2"/>
  <c r="N42" i="2"/>
  <c r="N46" i="2"/>
  <c r="N51" i="2"/>
  <c r="N55" i="2"/>
  <c r="N62" i="2"/>
  <c r="N66" i="2"/>
  <c r="N71" i="2"/>
  <c r="N75" i="2"/>
  <c r="N79" i="2"/>
  <c r="N83" i="2"/>
  <c r="N87" i="2"/>
  <c r="N141" i="2" l="1"/>
  <c r="N152" i="2"/>
  <c r="N163" i="2"/>
  <c r="N164" i="2"/>
  <c r="N145" i="2"/>
  <c r="N161" i="2"/>
  <c r="N155" i="2"/>
  <c r="N160" i="2"/>
  <c r="N146" i="2"/>
  <c r="N162" i="2"/>
  <c r="N156" i="2"/>
  <c r="N147" i="2"/>
  <c r="N142" i="2"/>
  <c r="R28" i="2"/>
  <c r="Q28" i="2"/>
  <c r="R48" i="2"/>
  <c r="Q48" i="2"/>
  <c r="N143" i="2"/>
  <c r="N140" i="2"/>
  <c r="N133" i="2"/>
  <c r="N149" i="2"/>
  <c r="N135" i="2"/>
  <c r="N136" i="2"/>
  <c r="N134" i="2"/>
  <c r="N150" i="2"/>
  <c r="R69" i="2"/>
  <c r="Q69" i="2"/>
  <c r="N159" i="2"/>
  <c r="N157" i="2"/>
  <c r="N158" i="2"/>
  <c r="N151" i="2"/>
  <c r="N148" i="2"/>
  <c r="N137" i="2"/>
  <c r="N153" i="2"/>
  <c r="N139" i="2"/>
  <c r="N144" i="2"/>
  <c r="N138" i="2"/>
  <c r="N154" i="2"/>
  <c r="R133" i="2" l="1"/>
  <c r="Q133" i="2"/>
</calcChain>
</file>

<file path=xl/comments1.xml><?xml version="1.0" encoding="utf-8"?>
<comments xmlns="http://schemas.openxmlformats.org/spreadsheetml/2006/main">
  <authors>
    <author>John BEGG</author>
  </authors>
  <commentList>
    <comment ref="N2" authorId="0" shapeId="0">
      <text>
        <r>
          <rPr>
            <b/>
            <sz val="8"/>
            <color indexed="81"/>
            <rFont val="Tahoma"/>
            <family val="2"/>
          </rPr>
          <t>John BEGG:</t>
        </r>
        <r>
          <rPr>
            <sz val="8"/>
            <color indexed="81"/>
            <rFont val="Tahoma"/>
            <family val="2"/>
          </rPr>
          <t xml:space="preserve">
t1. The red number represents the average water level at the Kaikoura tide gauge for the period of time in question. This number is derived from the LINZ Kaikoura Tide Gauge data. All grey shaded cells in this sheet use LINZ data only</t>
        </r>
      </text>
    </comment>
  </commentList>
</comments>
</file>

<file path=xl/comments2.xml><?xml version="1.0" encoding="utf-8"?>
<comments xmlns="http://schemas.openxmlformats.org/spreadsheetml/2006/main">
  <authors>
    <author>John BEGG</author>
  </authors>
  <commentList>
    <comment ref="N1" authorId="0" shapeId="0">
      <text>
        <r>
          <rPr>
            <b/>
            <sz val="8"/>
            <color indexed="81"/>
            <rFont val="Tahoma"/>
            <family val="2"/>
          </rPr>
          <t>John BEGG:</t>
        </r>
        <r>
          <rPr>
            <sz val="8"/>
            <color indexed="81"/>
            <rFont val="Tahoma"/>
            <family val="2"/>
          </rPr>
          <t xml:space="preserve">
t1. The red number represents the average water level at the Kaikoura tide gauge for the period of time in question.</t>
        </r>
      </text>
    </comment>
  </commentList>
</comments>
</file>

<file path=xl/comments3.xml><?xml version="1.0" encoding="utf-8"?>
<comments xmlns="http://schemas.openxmlformats.org/spreadsheetml/2006/main">
  <authors>
    <author>John BEGG</author>
  </authors>
  <commentList>
    <comment ref="H68" authorId="0" shapeId="0">
      <text>
        <r>
          <rPr>
            <b/>
            <sz val="9"/>
            <color indexed="81"/>
            <rFont val="Tahoma"/>
            <family val="2"/>
          </rPr>
          <t>John BEGG:</t>
        </r>
        <r>
          <rPr>
            <sz val="9"/>
            <color indexed="81"/>
            <rFont val="Tahoma"/>
            <family val="2"/>
          </rPr>
          <t xml:space="preserve">
Carpophyllum span c. 20-30 cm wide band on the rock.</t>
        </r>
      </text>
    </comment>
    <comment ref="J68" authorId="0" shapeId="0">
      <text>
        <r>
          <rPr>
            <b/>
            <sz val="9"/>
            <color indexed="81"/>
            <rFont val="Tahoma"/>
            <family val="2"/>
          </rPr>
          <t>John BEGG:</t>
        </r>
        <r>
          <rPr>
            <sz val="9"/>
            <color indexed="81"/>
            <rFont val="Tahoma"/>
            <family val="2"/>
          </rPr>
          <t xml:space="preserve">
Therre was a wave and we averaged water level</t>
        </r>
      </text>
    </comment>
  </commentList>
</comments>
</file>

<file path=xl/sharedStrings.xml><?xml version="1.0" encoding="utf-8"?>
<sst xmlns="http://schemas.openxmlformats.org/spreadsheetml/2006/main" count="5647" uniqueCount="690">
  <si>
    <t>Site</t>
  </si>
  <si>
    <t>Locality_name</t>
  </si>
  <si>
    <t>Operator</t>
  </si>
  <si>
    <t>Date_NZ</t>
  </si>
  <si>
    <t>Time_NZ</t>
  </si>
  <si>
    <t>Lat</t>
  </si>
  <si>
    <t>Long</t>
  </si>
  <si>
    <t>NZTM_X</t>
  </si>
  <si>
    <t>NZTM_Y</t>
  </si>
  <si>
    <t>Genus</t>
  </si>
  <si>
    <t>Uncertain</t>
  </si>
  <si>
    <t>Carpophyllum</t>
  </si>
  <si>
    <t>Sheltered</t>
  </si>
  <si>
    <t>Durvillaea</t>
  </si>
  <si>
    <t>pp1 wl</t>
  </si>
  <si>
    <t>PaiaPoint</t>
  </si>
  <si>
    <t>42°28'20.28697"S</t>
  </si>
  <si>
    <t>173°32'12.49418"E</t>
  </si>
  <si>
    <t>pp2</t>
  </si>
  <si>
    <t>42°28'20.36633"S</t>
  </si>
  <si>
    <t>173°32'12.41571"E</t>
  </si>
  <si>
    <t>pp3</t>
  </si>
  <si>
    <t>42°28'20.37343"S</t>
  </si>
  <si>
    <t>173°32'12.46000"E</t>
  </si>
  <si>
    <t>pp4</t>
  </si>
  <si>
    <t>42°28'20.38739"S</t>
  </si>
  <si>
    <t>173°32'12.52589"E</t>
  </si>
  <si>
    <t>pp5</t>
  </si>
  <si>
    <t>42°28'20.38722"S</t>
  </si>
  <si>
    <t>173°32'12.59431"E</t>
  </si>
  <si>
    <t>pp6</t>
  </si>
  <si>
    <t>42°28'20.38263"S</t>
  </si>
  <si>
    <t>173°32'12.63768"E</t>
  </si>
  <si>
    <t>pp7</t>
  </si>
  <si>
    <t>42°28'20.45108"S</t>
  </si>
  <si>
    <t>173°32'12.63609"E</t>
  </si>
  <si>
    <t>pp8</t>
  </si>
  <si>
    <t>42°28'20.46157"S</t>
  </si>
  <si>
    <t>173°32'12.57649"E</t>
  </si>
  <si>
    <t>pp9</t>
  </si>
  <si>
    <t>42°28'20.50734"S</t>
  </si>
  <si>
    <t>173°32'12.36564"E</t>
  </si>
  <si>
    <t>pp10</t>
  </si>
  <si>
    <t>42°28'20.58407"S</t>
  </si>
  <si>
    <t>173°32'12.44909"E</t>
  </si>
  <si>
    <t>pp11</t>
  </si>
  <si>
    <t>42°28'20.60212"S</t>
  </si>
  <si>
    <t>173°32'12.52334"E</t>
  </si>
  <si>
    <t>pp12</t>
  </si>
  <si>
    <t>42°28'20.62026"S</t>
  </si>
  <si>
    <t>173°32'12.60603"E</t>
  </si>
  <si>
    <t>pp13</t>
  </si>
  <si>
    <t>42°28'20.60477"S</t>
  </si>
  <si>
    <t>173°32'12.64956"E</t>
  </si>
  <si>
    <t>pp14</t>
  </si>
  <si>
    <t>42°28'20.59655"S</t>
  </si>
  <si>
    <t>173°32'12.69014"E</t>
  </si>
  <si>
    <t>pp15</t>
  </si>
  <si>
    <t>42°28'20.73216"S</t>
  </si>
  <si>
    <t>173°32'12.67475"E</t>
  </si>
  <si>
    <t>pp16</t>
  </si>
  <si>
    <t>42°28'20.78550"S</t>
  </si>
  <si>
    <t>173°32'12.51992"E</t>
  </si>
  <si>
    <t>pp17</t>
  </si>
  <si>
    <t>42°28'20.77027"S</t>
  </si>
  <si>
    <t>173°32'12.51753"E</t>
  </si>
  <si>
    <t>pp18</t>
  </si>
  <si>
    <t>42°28'20.71474"S</t>
  </si>
  <si>
    <t>173°32'12.49497"E</t>
  </si>
  <si>
    <t>pp19</t>
  </si>
  <si>
    <t>42°28'20.69249"S</t>
  </si>
  <si>
    <t>173°32'12.48862"E</t>
  </si>
  <si>
    <t>pp20</t>
  </si>
  <si>
    <t>42°28'20.65314"S</t>
  </si>
  <si>
    <t>173°32'12.56722"E</t>
  </si>
  <si>
    <t>pp21 wl</t>
  </si>
  <si>
    <t>42°28'20.60310"S</t>
  </si>
  <si>
    <t>173°32'12.63929"E</t>
  </si>
  <si>
    <t>pp22</t>
  </si>
  <si>
    <t>42°28'20.63562"S</t>
  </si>
  <si>
    <t>173°32'12.56892"E</t>
  </si>
  <si>
    <t>pp23</t>
  </si>
  <si>
    <t>42°28'20.63127"S</t>
  </si>
  <si>
    <t>173°32'12.58135"E</t>
  </si>
  <si>
    <t>pp24</t>
  </si>
  <si>
    <t>42°28'20.61930"S</t>
  </si>
  <si>
    <t>173°32'12.80924"E</t>
  </si>
  <si>
    <t>pp25</t>
  </si>
  <si>
    <t>42°28'20.73253"S</t>
  </si>
  <si>
    <t>173°32'12.71129"E</t>
  </si>
  <si>
    <t>pp26</t>
  </si>
  <si>
    <t>42°28'20.72518"S</t>
  </si>
  <si>
    <t>173°32'12.71803"E</t>
  </si>
  <si>
    <t>pp27</t>
  </si>
  <si>
    <t>42°28'20.74646"S</t>
  </si>
  <si>
    <t>173°32'12.61197"E</t>
  </si>
  <si>
    <t>pp28</t>
  </si>
  <si>
    <t>42°28'20.77309"S</t>
  </si>
  <si>
    <t>173°32'12.60159"E</t>
  </si>
  <si>
    <t>pp29</t>
  </si>
  <si>
    <t>42°28'20.59981"S</t>
  </si>
  <si>
    <t>173°32'12.55318"E</t>
  </si>
  <si>
    <t>pp30</t>
  </si>
  <si>
    <t>42°28'20.56513"S</t>
  </si>
  <si>
    <t>173°32'12.58260"E</t>
  </si>
  <si>
    <t>pp31</t>
  </si>
  <si>
    <t>42°28'20.53066"S</t>
  </si>
  <si>
    <t>173°32'12.62470"E</t>
  </si>
  <si>
    <t>pp32</t>
  </si>
  <si>
    <t>42°28'20.47333"S</t>
  </si>
  <si>
    <t>173°32'12.53759"E</t>
  </si>
  <si>
    <t>pp33</t>
  </si>
  <si>
    <t>42°28'20.45981"S</t>
  </si>
  <si>
    <t>173°32'12.58498"E</t>
  </si>
  <si>
    <t>pp34</t>
  </si>
  <si>
    <t>42°28'20.45794"S</t>
  </si>
  <si>
    <t>173°32'12.61956"E</t>
  </si>
  <si>
    <t>pp35</t>
  </si>
  <si>
    <t>42°28'20.36479"S</t>
  </si>
  <si>
    <t>173°32'12.41369"E</t>
  </si>
  <si>
    <t>pp36</t>
  </si>
  <si>
    <t>42°28'20.36703"S</t>
  </si>
  <si>
    <t>173°32'12.32483"E</t>
  </si>
  <si>
    <t>pp37</t>
  </si>
  <si>
    <t>42°28'20.23980"S</t>
  </si>
  <si>
    <t>173°32'12.19793"E</t>
  </si>
  <si>
    <t>pp38</t>
  </si>
  <si>
    <t>42°28'20.24483"S</t>
  </si>
  <si>
    <t>173°32'12.19106"E</t>
  </si>
  <si>
    <t>pp39</t>
  </si>
  <si>
    <t>42°28'20.22543"S</t>
  </si>
  <si>
    <t>173°32'12.21167"E</t>
  </si>
  <si>
    <t>pp40</t>
  </si>
  <si>
    <t>42°28'20.15316"S</t>
  </si>
  <si>
    <t>173°32'12.21791"E</t>
  </si>
  <si>
    <t>pp41</t>
  </si>
  <si>
    <t>42°28'20.11555"S</t>
  </si>
  <si>
    <t>173°32'12.26010"E</t>
  </si>
  <si>
    <t>pp50 wl</t>
  </si>
  <si>
    <t>42°28'17.08469"S</t>
  </si>
  <si>
    <t>173°32'12.47865"E</t>
  </si>
  <si>
    <t>pp51</t>
  </si>
  <si>
    <t>42°28'17.02588"S</t>
  </si>
  <si>
    <t>173°32'12.46562"E</t>
  </si>
  <si>
    <t>pp52</t>
  </si>
  <si>
    <t>42°28'17.01523"S</t>
  </si>
  <si>
    <t>173°32'12.51033"E</t>
  </si>
  <si>
    <t>pp53</t>
  </si>
  <si>
    <t>42°28'17.00788"S</t>
  </si>
  <si>
    <t>173°32'12.52541"E</t>
  </si>
  <si>
    <t>pp54</t>
  </si>
  <si>
    <t>42°28'16.99904"S</t>
  </si>
  <si>
    <t>173°32'12.53157"E</t>
  </si>
  <si>
    <t>pp55</t>
  </si>
  <si>
    <t>42°28'16.99299"S</t>
  </si>
  <si>
    <t>173°32'12.54639"E</t>
  </si>
  <si>
    <t>pp56</t>
  </si>
  <si>
    <t>42°28'17.13625"S</t>
  </si>
  <si>
    <t>173°32'12.39806"E</t>
  </si>
  <si>
    <t>pp57</t>
  </si>
  <si>
    <t>42°28'17.07903"S</t>
  </si>
  <si>
    <t>173°32'12.31108"E</t>
  </si>
  <si>
    <t>pp58</t>
  </si>
  <si>
    <t>42°28'17.06646"S</t>
  </si>
  <si>
    <t>173°32'12.32604"E</t>
  </si>
  <si>
    <t>pp59</t>
  </si>
  <si>
    <t>42°28'17.04687"S</t>
  </si>
  <si>
    <t>173°32'12.34609"E</t>
  </si>
  <si>
    <t>pp60</t>
  </si>
  <si>
    <t>42°28'16.96973"S</t>
  </si>
  <si>
    <t>173°32'12.41211"E</t>
  </si>
  <si>
    <t>pp61</t>
  </si>
  <si>
    <t>42°28'16.98512"S</t>
  </si>
  <si>
    <t>173°32'12.42906"E</t>
  </si>
  <si>
    <t>pp62</t>
  </si>
  <si>
    <t>42°28'16.81749"S</t>
  </si>
  <si>
    <t>173°32'12.28010"E</t>
  </si>
  <si>
    <t>pp63</t>
  </si>
  <si>
    <t>42°28'16.80309"S</t>
  </si>
  <si>
    <t>173°32'12.29638"E</t>
  </si>
  <si>
    <t>pp64</t>
  </si>
  <si>
    <t>42°28'16.58226"S</t>
  </si>
  <si>
    <t>173°32'12.34478"E</t>
  </si>
  <si>
    <t>pp65</t>
  </si>
  <si>
    <t>42°28'16.53004"S</t>
  </si>
  <si>
    <t>173°32'12.49786"E</t>
  </si>
  <si>
    <t>pp66</t>
  </si>
  <si>
    <t>42°28'16.48118"S</t>
  </si>
  <si>
    <t>173°32'12.49935"E</t>
  </si>
  <si>
    <t>pp67</t>
  </si>
  <si>
    <t>42°28'16.45121"S</t>
  </si>
  <si>
    <t>173°32'12.51435"E</t>
  </si>
  <si>
    <t>pp68</t>
  </si>
  <si>
    <t>42°28'16.49112"S</t>
  </si>
  <si>
    <t>173°32'12.56814"E</t>
  </si>
  <si>
    <t>pp69</t>
  </si>
  <si>
    <t>42°28'16.46977"S</t>
  </si>
  <si>
    <t>173°32'12.56678"E</t>
  </si>
  <si>
    <t>water1</t>
  </si>
  <si>
    <t>water2</t>
  </si>
  <si>
    <t>water3</t>
  </si>
  <si>
    <t>tgs1 wl</t>
  </si>
  <si>
    <t>Tide Gauge</t>
  </si>
  <si>
    <t>42°24'50.05114"S</t>
  </si>
  <si>
    <t>173°42'03.58814"E</t>
  </si>
  <si>
    <t>Water level</t>
  </si>
  <si>
    <t>tgs2</t>
  </si>
  <si>
    <t>42°24'50.02101"S</t>
  </si>
  <si>
    <t>173°42'03.69656"E</t>
  </si>
  <si>
    <t>tgs3</t>
  </si>
  <si>
    <t>42°24'49.99298"S</t>
  </si>
  <si>
    <t>173°42'03.67108"E</t>
  </si>
  <si>
    <t>tgs4</t>
  </si>
  <si>
    <t>42°24'50.35321"S</t>
  </si>
  <si>
    <t>173°42'03.01428"E</t>
  </si>
  <si>
    <t>tgs5</t>
  </si>
  <si>
    <t>42°24'50.18404"S</t>
  </si>
  <si>
    <t>173°42'02.91636"E</t>
  </si>
  <si>
    <t>tgs6</t>
  </si>
  <si>
    <t>42°24'50.22232"S</t>
  </si>
  <si>
    <t>173°42'02.94027"E</t>
  </si>
  <si>
    <t>tgs7</t>
  </si>
  <si>
    <t>42°24'50.14139"S</t>
  </si>
  <si>
    <t>173°42'02.84281"E</t>
  </si>
  <si>
    <t>tgs8</t>
  </si>
  <si>
    <t>42°24'50.10497"S</t>
  </si>
  <si>
    <t>173°42'02.78659"E</t>
  </si>
  <si>
    <t>tgs9</t>
  </si>
  <si>
    <t>42°24'50.07976"S</t>
  </si>
  <si>
    <t>173°42'02.77064"E</t>
  </si>
  <si>
    <t>tgs10</t>
  </si>
  <si>
    <t>42°24'50.08189"S</t>
  </si>
  <si>
    <t>173°42'02.75692"E</t>
  </si>
  <si>
    <t>tgs11</t>
  </si>
  <si>
    <t>42°24'50.17821"S</t>
  </si>
  <si>
    <t>173°42'02.78452"E</t>
  </si>
  <si>
    <t>tgs12</t>
  </si>
  <si>
    <t>42°24'50.12649"S</t>
  </si>
  <si>
    <t>173°42'02.64820"E</t>
  </si>
  <si>
    <t>tgs13</t>
  </si>
  <si>
    <t>42°24'50.15267"S</t>
  </si>
  <si>
    <t>173°42'02.43598"E</t>
  </si>
  <si>
    <t>tgs14</t>
  </si>
  <si>
    <t>42°24'50.14143"S</t>
  </si>
  <si>
    <t>173°42'02.39129"E</t>
  </si>
  <si>
    <t>tgs15</t>
  </si>
  <si>
    <t>42°24'50.10912"S</t>
  </si>
  <si>
    <t>173°42'02.36170"E</t>
  </si>
  <si>
    <t>tgs16</t>
  </si>
  <si>
    <t>42°24'50.01634"S</t>
  </si>
  <si>
    <t>173°42'02.37072"E</t>
  </si>
  <si>
    <t>tgs17</t>
  </si>
  <si>
    <t>42°24'50.00160"S</t>
  </si>
  <si>
    <t>173°42'02.38538"E</t>
  </si>
  <si>
    <t>tgs18</t>
  </si>
  <si>
    <t>42°24'49.95966"S</t>
  </si>
  <si>
    <t>173°42'02.37559"E</t>
  </si>
  <si>
    <t>tgs19</t>
  </si>
  <si>
    <t>42°24'49.93057"S</t>
  </si>
  <si>
    <t>173°42'02.33742"E</t>
  </si>
  <si>
    <t>tgs20</t>
  </si>
  <si>
    <t>42°24'49.92338"S</t>
  </si>
  <si>
    <t>173°42'02.39175"E</t>
  </si>
  <si>
    <t>tgs21</t>
  </si>
  <si>
    <t>42°24'50.02899"S</t>
  </si>
  <si>
    <t>173°42'02.33936"E</t>
  </si>
  <si>
    <t>tgx1 wl</t>
  </si>
  <si>
    <t>42°24'48.43037"S</t>
  </si>
  <si>
    <t>173°42'10.74145"E</t>
  </si>
  <si>
    <t>tgx2</t>
  </si>
  <si>
    <t>42°24'48.43328"S</t>
  </si>
  <si>
    <t>173°42'10.67832"E</t>
  </si>
  <si>
    <t>tgx3</t>
  </si>
  <si>
    <t>42°24'48.42379"S</t>
  </si>
  <si>
    <t>173°42'10.72436"E</t>
  </si>
  <si>
    <t>tgx4</t>
  </si>
  <si>
    <t>42°24'48.41253"S</t>
  </si>
  <si>
    <t>173°42'10.76498"E</t>
  </si>
  <si>
    <t>tgx5</t>
  </si>
  <si>
    <t>42°24'48.40120"S</t>
  </si>
  <si>
    <t>173°42'10.76874"E</t>
  </si>
  <si>
    <t>tgx6</t>
  </si>
  <si>
    <t>42°24'48.39772"S</t>
  </si>
  <si>
    <t>173°42'10.80610"E</t>
  </si>
  <si>
    <t>tgx7</t>
  </si>
  <si>
    <t>42°24'48.34468"S</t>
  </si>
  <si>
    <t>173°42'10.88316"E</t>
  </si>
  <si>
    <t>tgx8</t>
  </si>
  <si>
    <t>42°24'48.25743"S</t>
  </si>
  <si>
    <t>173°42'10.99546"E</t>
  </si>
  <si>
    <t>tgx9</t>
  </si>
  <si>
    <t>42°24'48.26209"S</t>
  </si>
  <si>
    <t>173°42'11.07538"E</t>
  </si>
  <si>
    <t>tgx10</t>
  </si>
  <si>
    <t>42°24'48.11885"S</t>
  </si>
  <si>
    <t>173°42'11.15650"E</t>
  </si>
  <si>
    <t>tgx11</t>
  </si>
  <si>
    <t>42°24'48.15587"S</t>
  </si>
  <si>
    <t>173°42'11.26272"E</t>
  </si>
  <si>
    <t>tgx12</t>
  </si>
  <si>
    <t>42°24'48.18854"S</t>
  </si>
  <si>
    <t>173°42'11.23507"E</t>
  </si>
  <si>
    <t>tgx13</t>
  </si>
  <si>
    <t>42°24'48.08127"S</t>
  </si>
  <si>
    <t>173°42'11.41004"E</t>
  </si>
  <si>
    <t>tgx14</t>
  </si>
  <si>
    <t>42°24'48.06757"S</t>
  </si>
  <si>
    <t>173°42'11.44642"E</t>
  </si>
  <si>
    <t>tgx15</t>
  </si>
  <si>
    <t>42°24'48.04190"S</t>
  </si>
  <si>
    <t>173°42'11.43489"E</t>
  </si>
  <si>
    <t>tgx16</t>
  </si>
  <si>
    <t>42°24'48.00063"S</t>
  </si>
  <si>
    <t>173°42'11.38446"E</t>
  </si>
  <si>
    <t>tgx17</t>
  </si>
  <si>
    <t>42°24'47.90701"S</t>
  </si>
  <si>
    <t>173°42'11.41247"E</t>
  </si>
  <si>
    <t>tgx18</t>
  </si>
  <si>
    <t>42°24'47.90545"S</t>
  </si>
  <si>
    <t>173°42'11.62335"E</t>
  </si>
  <si>
    <t>tgx19</t>
  </si>
  <si>
    <t>42°24'47.57642"S</t>
  </si>
  <si>
    <t>173°42'11.55339"E</t>
  </si>
  <si>
    <t>tgx20</t>
  </si>
  <si>
    <t>42°24'47.61696"S</t>
  </si>
  <si>
    <t>173°42'11.59082"E</t>
  </si>
  <si>
    <t>42°24'47.87287"S</t>
  </si>
  <si>
    <t>173°42'08.81881"E</t>
  </si>
  <si>
    <t>42°24'47.86213"S</t>
  </si>
  <si>
    <t>173°42'08.80030"E</t>
  </si>
  <si>
    <t>42°24'47.84738"S</t>
  </si>
  <si>
    <t>173°42'08.79427"E</t>
  </si>
  <si>
    <t>tg d s 1</t>
  </si>
  <si>
    <t>42°24'47.89233"S</t>
  </si>
  <si>
    <t>173°42'08.72824"E</t>
  </si>
  <si>
    <t>tg d s 2</t>
  </si>
  <si>
    <t>42°24'47.95738"S</t>
  </si>
  <si>
    <t>173°42'08.77185"E</t>
  </si>
  <si>
    <t>tg d s 3</t>
  </si>
  <si>
    <t>42°24'47.97073"S</t>
  </si>
  <si>
    <t>173°42'08.85551"E</t>
  </si>
  <si>
    <t>tg d s 4</t>
  </si>
  <si>
    <t>42°24'47.95993"S</t>
  </si>
  <si>
    <t>173°42'08.97717"E</t>
  </si>
  <si>
    <t>tg d s 5</t>
  </si>
  <si>
    <t>42°24'48.14793"S</t>
  </si>
  <si>
    <t>173°42'08.71966"E</t>
  </si>
  <si>
    <t>tg d s 6</t>
  </si>
  <si>
    <t>42°24'48.14867"S</t>
  </si>
  <si>
    <t>173°42'08.73680"E</t>
  </si>
  <si>
    <t>tg d s 7</t>
  </si>
  <si>
    <t>173°42'08.69661"E</t>
  </si>
  <si>
    <t>tg d s 8</t>
  </si>
  <si>
    <t>42°24'48.11678"S</t>
  </si>
  <si>
    <t>173°42'08.72659"E</t>
  </si>
  <si>
    <t>tg d s 9</t>
  </si>
  <si>
    <t>42°24'48.10302"S</t>
  </si>
  <si>
    <t>173°42'08.70339"E</t>
  </si>
  <si>
    <t>tg d s 10</t>
  </si>
  <si>
    <t>42°24'48.09626"S</t>
  </si>
  <si>
    <t>173°42'08.62200"E</t>
  </si>
  <si>
    <t>tg d s 11</t>
  </si>
  <si>
    <t>42°24'48.08959"S</t>
  </si>
  <si>
    <t>173°42'08.61405"E</t>
  </si>
  <si>
    <t>tg d s 12</t>
  </si>
  <si>
    <t>42°24'47.75998"S</t>
  </si>
  <si>
    <t>173°42'08.82198"E</t>
  </si>
  <si>
    <t>tg d s 13</t>
  </si>
  <si>
    <t>42°24'47.77245"S</t>
  </si>
  <si>
    <t>173°42'08.84654"E</t>
  </si>
  <si>
    <t>tg d s 14</t>
  </si>
  <si>
    <t>42°24'47.78151"S</t>
  </si>
  <si>
    <t>173°42'08.84975"E</t>
  </si>
  <si>
    <t>tg d_2 s 1</t>
  </si>
  <si>
    <t>42°24'47.19920"S</t>
  </si>
  <si>
    <t>173°42'10.57454"E</t>
  </si>
  <si>
    <t>tg d_2 s 2</t>
  </si>
  <si>
    <t>42°24'47.22512"S</t>
  </si>
  <si>
    <t>173°42'10.54941"E</t>
  </si>
  <si>
    <t>tg d_2 s 3</t>
  </si>
  <si>
    <t>42°24'47.24896"S</t>
  </si>
  <si>
    <t>173°42'10.60279"E</t>
  </si>
  <si>
    <t>tg d_2 s 4</t>
  </si>
  <si>
    <t>42°24'47.26126"S</t>
  </si>
  <si>
    <t>173°42'10.65841"E</t>
  </si>
  <si>
    <t>tg d_2 s 5</t>
  </si>
  <si>
    <t>42°24'47.25970"S</t>
  </si>
  <si>
    <t>173°42'10.73518"E</t>
  </si>
  <si>
    <t>tg d_2 s 6</t>
  </si>
  <si>
    <t>42°24'47.33051"S</t>
  </si>
  <si>
    <t>173°42'10.82470"E</t>
  </si>
  <si>
    <t>tg d_2 s 7</t>
  </si>
  <si>
    <t>42°24'47.34152"S</t>
  </si>
  <si>
    <t>173°42'10.90780"E</t>
  </si>
  <si>
    <t>tg d_2 s 8</t>
  </si>
  <si>
    <t>42°24'47.24684"S</t>
  </si>
  <si>
    <t>173°42'10.90147"E</t>
  </si>
  <si>
    <t>tg d_2 s 9</t>
  </si>
  <si>
    <t>42°24'47.03259"S</t>
  </si>
  <si>
    <t>173°42'11.38869"E</t>
  </si>
  <si>
    <t>tg d_2 s 10</t>
  </si>
  <si>
    <t>42°24'46.94568"S</t>
  </si>
  <si>
    <t>173°42'11.51735"E</t>
  </si>
  <si>
    <t>tg d_2 s 11</t>
  </si>
  <si>
    <t>42°24'46.94020"S</t>
  </si>
  <si>
    <t>173°42'11.54896"E</t>
  </si>
  <si>
    <t>tg d_2 s 12</t>
  </si>
  <si>
    <t>42°24'46.93592"S</t>
  </si>
  <si>
    <t>173°42'11.40365"E</t>
  </si>
  <si>
    <t>tg d_2 s 13</t>
  </si>
  <si>
    <t>42°24'46.88086"S</t>
  </si>
  <si>
    <t>173°42'11.38486"E</t>
  </si>
  <si>
    <t>tg d_2 s 14</t>
  </si>
  <si>
    <t>42°24'46.85913"S</t>
  </si>
  <si>
    <t>173°42'11.46816"E</t>
  </si>
  <si>
    <t>tg d_2 s 15</t>
  </si>
  <si>
    <t>42°24'46.80921"S</t>
  </si>
  <si>
    <t>173°42'11.41509"E</t>
  </si>
  <si>
    <t>tg d_2 s 16</t>
  </si>
  <si>
    <t>42°24'46.73815"S</t>
  </si>
  <si>
    <t>173°42'11.45995"E</t>
  </si>
  <si>
    <t>tg d_3 d s</t>
  </si>
  <si>
    <t>42°24'44.62654"S</t>
  </si>
  <si>
    <t>173°42'14.06038"E</t>
  </si>
  <si>
    <t>tg d_3 d t</t>
  </si>
  <si>
    <t>42°24'44.57407"S</t>
  </si>
  <si>
    <t>173°42'14.02823"E</t>
  </si>
  <si>
    <t>waterline</t>
  </si>
  <si>
    <t>hours</t>
  </si>
  <si>
    <t>minutes</t>
  </si>
  <si>
    <t>t decimal</t>
  </si>
  <si>
    <t>(t - t1)/(t2 - t1)</t>
  </si>
  <si>
    <t>x Pi = A</t>
  </si>
  <si>
    <t>T1</t>
  </si>
  <si>
    <t>T2</t>
  </si>
  <si>
    <t>T</t>
  </si>
  <si>
    <t>H1</t>
  </si>
  <si>
    <t>H2</t>
  </si>
  <si>
    <t>H</t>
  </si>
  <si>
    <t xml:space="preserve">Paia Point </t>
  </si>
  <si>
    <t>pp1</t>
  </si>
  <si>
    <t>pp21</t>
  </si>
  <si>
    <t>pp50</t>
  </si>
  <si>
    <t>tgs1</t>
  </si>
  <si>
    <t>tgx1</t>
  </si>
  <si>
    <t>OM</t>
  </si>
  <si>
    <t>X</t>
  </si>
  <si>
    <t>Tide gauge</t>
  </si>
  <si>
    <t xml:space="preserve">tg d s </t>
  </si>
  <si>
    <t>Date</t>
  </si>
  <si>
    <t>Locality</t>
  </si>
  <si>
    <t>Collector</t>
  </si>
  <si>
    <t>NZ_Time</t>
  </si>
  <si>
    <t>X_coord</t>
  </si>
  <si>
    <t>Y_coord</t>
  </si>
  <si>
    <t>a</t>
  </si>
  <si>
    <t>Exposed</t>
  </si>
  <si>
    <t>b</t>
  </si>
  <si>
    <t>c</t>
  </si>
  <si>
    <t>d</t>
  </si>
  <si>
    <t>e</t>
  </si>
  <si>
    <t>VM</t>
  </si>
  <si>
    <t>f</t>
  </si>
  <si>
    <t>g</t>
  </si>
  <si>
    <t>h</t>
  </si>
  <si>
    <t>i</t>
  </si>
  <si>
    <t>j</t>
  </si>
  <si>
    <t>k</t>
  </si>
  <si>
    <t>l</t>
  </si>
  <si>
    <t>m</t>
  </si>
  <si>
    <t>n</t>
  </si>
  <si>
    <t>o</t>
  </si>
  <si>
    <t>p</t>
  </si>
  <si>
    <t>Paia Point</t>
  </si>
  <si>
    <t>q</t>
  </si>
  <si>
    <t>r</t>
  </si>
  <si>
    <t>s</t>
  </si>
  <si>
    <t>t</t>
  </si>
  <si>
    <t>u</t>
  </si>
  <si>
    <t>v</t>
  </si>
  <si>
    <t>w</t>
  </si>
  <si>
    <t>x</t>
  </si>
  <si>
    <t>y</t>
  </si>
  <si>
    <t>z</t>
  </si>
  <si>
    <t>aa</t>
  </si>
  <si>
    <t>bb</t>
  </si>
  <si>
    <t>Paia Point N</t>
  </si>
  <si>
    <r>
      <t>42</t>
    </r>
    <r>
      <rPr>
        <sz val="11"/>
        <color theme="1"/>
        <rFont val="Calibri"/>
        <family val="2"/>
      </rPr>
      <t>°24'50.3"</t>
    </r>
  </si>
  <si>
    <r>
      <t>173</t>
    </r>
    <r>
      <rPr>
        <sz val="11"/>
        <color theme="1"/>
        <rFont val="Calibri"/>
        <family val="2"/>
      </rPr>
      <t>°42'03.0"</t>
    </r>
  </si>
  <si>
    <r>
      <t>42</t>
    </r>
    <r>
      <rPr>
        <sz val="11"/>
        <color theme="1"/>
        <rFont val="Calibri"/>
        <family val="2"/>
      </rPr>
      <t>°24'49.6"</t>
    </r>
  </si>
  <si>
    <r>
      <t>173</t>
    </r>
    <r>
      <rPr>
        <sz val="11"/>
        <color theme="1"/>
        <rFont val="Calibri"/>
        <family val="2"/>
      </rPr>
      <t>°42'09.4"</t>
    </r>
  </si>
  <si>
    <t>Sheltered/exposed</t>
  </si>
  <si>
    <t>42°24'47.3"</t>
  </si>
  <si>
    <t>173°42'10.9"</t>
  </si>
  <si>
    <t>JB</t>
  </si>
  <si>
    <t>MLWS</t>
  </si>
  <si>
    <t>Xc RTK</t>
  </si>
  <si>
    <t>Ave</t>
  </si>
  <si>
    <t>SD</t>
  </si>
  <si>
    <t>Median</t>
  </si>
  <si>
    <t>Max</t>
  </si>
  <si>
    <t>Min</t>
  </si>
  <si>
    <t>mean</t>
  </si>
  <si>
    <t>all data</t>
  </si>
  <si>
    <t>Mean</t>
  </si>
  <si>
    <t>Omihi Point</t>
  </si>
  <si>
    <t>U</t>
  </si>
  <si>
    <t>Kaikoura south side-1</t>
  </si>
  <si>
    <t>Kaikoura Harbour</t>
  </si>
  <si>
    <t>42°25'35.6"</t>
  </si>
  <si>
    <t>173°40'53.7"</t>
  </si>
  <si>
    <t>42°25'35.4"</t>
  </si>
  <si>
    <t>173°41'16.5"</t>
  </si>
  <si>
    <t>om1</t>
  </si>
  <si>
    <t>om2</t>
  </si>
  <si>
    <t>om3</t>
  </si>
  <si>
    <t>om4</t>
  </si>
  <si>
    <t>om5</t>
  </si>
  <si>
    <t>om6</t>
  </si>
  <si>
    <t>om7</t>
  </si>
  <si>
    <t>om8</t>
  </si>
  <si>
    <t>om9</t>
  </si>
  <si>
    <t>om10</t>
  </si>
  <si>
    <t>om11</t>
  </si>
  <si>
    <t>om12</t>
  </si>
  <si>
    <t>om13</t>
  </si>
  <si>
    <t>om14</t>
  </si>
  <si>
    <t>om15</t>
  </si>
  <si>
    <t>om16</t>
  </si>
  <si>
    <t>om17</t>
  </si>
  <si>
    <t>om18</t>
  </si>
  <si>
    <t>om19</t>
  </si>
  <si>
    <t>om20</t>
  </si>
  <si>
    <t>om21</t>
  </si>
  <si>
    <t>om22</t>
  </si>
  <si>
    <t>om23</t>
  </si>
  <si>
    <t>om24</t>
  </si>
  <si>
    <t>42°29'29.18319"S</t>
  </si>
  <si>
    <t>173°31'24.24024"E</t>
  </si>
  <si>
    <t>42°29'29.19622"S</t>
  </si>
  <si>
    <t>173°31'24.60218"E</t>
  </si>
  <si>
    <t>42°29'29.18404"S</t>
  </si>
  <si>
    <t>173°31'24.59722"E</t>
  </si>
  <si>
    <t>42°29'29.22692"S</t>
  </si>
  <si>
    <t>173°31'24.59464"E</t>
  </si>
  <si>
    <t>42°29'29.16137"S</t>
  </si>
  <si>
    <t>173°31'24.75495"E</t>
  </si>
  <si>
    <t>42°29'29.16729"S</t>
  </si>
  <si>
    <t>173°31'24.78961"E</t>
  </si>
  <si>
    <t>42°29'29.15562"S</t>
  </si>
  <si>
    <t>173°31'24.78304"E</t>
  </si>
  <si>
    <t>42°29'29.13221"S</t>
  </si>
  <si>
    <t>173°31'24.60354"E</t>
  </si>
  <si>
    <t>42°29'29.12434"S</t>
  </si>
  <si>
    <t>173°31'24.59476"E</t>
  </si>
  <si>
    <t>42°29'29.25639"S</t>
  </si>
  <si>
    <t>173°31'23.88938"E</t>
  </si>
  <si>
    <t>42°29'29.24247"S</t>
  </si>
  <si>
    <t>173°31'23.87938"E</t>
  </si>
  <si>
    <t>42°29'29.35343"S</t>
  </si>
  <si>
    <t>173°31'24.00033"E</t>
  </si>
  <si>
    <t>42°29'29.64040"S</t>
  </si>
  <si>
    <t>173°31'23.26768"E</t>
  </si>
  <si>
    <t>42°29'29.89486"S</t>
  </si>
  <si>
    <t>173°31'22.70969"E</t>
  </si>
  <si>
    <t>42°29'29.88290"S</t>
  </si>
  <si>
    <t>173°31'22.74447"E</t>
  </si>
  <si>
    <t>42°29'29.97181"S</t>
  </si>
  <si>
    <t>173°31'22.89327"E</t>
  </si>
  <si>
    <t>42°29'30.00174"S</t>
  </si>
  <si>
    <t>173°31'22.89120"E</t>
  </si>
  <si>
    <t>42°29'30.23474"S</t>
  </si>
  <si>
    <t>173°31'22.88516"E</t>
  </si>
  <si>
    <t>42°29'30.33233"S</t>
  </si>
  <si>
    <t>173°31'22.91123"E</t>
  </si>
  <si>
    <t>42°29'30.91158"S</t>
  </si>
  <si>
    <t>173°31'24.00935"E</t>
  </si>
  <si>
    <t>42°29'30.90445"S</t>
  </si>
  <si>
    <t>173°31'24.02122"E</t>
  </si>
  <si>
    <t>42°29'30.84378"S</t>
  </si>
  <si>
    <t>173°31'24.16195"E</t>
  </si>
  <si>
    <t>42°29'31.15034"S</t>
  </si>
  <si>
    <t>173°31'24.09066"E</t>
  </si>
  <si>
    <t>42°29'31.12389"S</t>
  </si>
  <si>
    <t>173°31'24.08859"E</t>
  </si>
  <si>
    <t>42°25'35.53563"S</t>
  </si>
  <si>
    <t>173°40'53.19356"E</t>
  </si>
  <si>
    <t>c s 1</t>
  </si>
  <si>
    <t>42°25'35.77107"S</t>
  </si>
  <si>
    <t>173°40'53.24325"E</t>
  </si>
  <si>
    <t>c s 2</t>
  </si>
  <si>
    <t>42°25'35.72975"S</t>
  </si>
  <si>
    <t>173°40'53.18802"E</t>
  </si>
  <si>
    <t>c s 3</t>
  </si>
  <si>
    <t>42°25'35.70398"S</t>
  </si>
  <si>
    <t>173°40'53.22179"E</t>
  </si>
  <si>
    <t>c s 4</t>
  </si>
  <si>
    <t>42°25'35.69901"S</t>
  </si>
  <si>
    <t>173°40'53.47300"E</t>
  </si>
  <si>
    <t>c s 5</t>
  </si>
  <si>
    <t>42°25'35.75539"S</t>
  </si>
  <si>
    <t>173°40'53.44026"E</t>
  </si>
  <si>
    <t>c s 6</t>
  </si>
  <si>
    <t>42°25'34.77766"S</t>
  </si>
  <si>
    <t>173°40'51.86856"E</t>
  </si>
  <si>
    <t>c s 7</t>
  </si>
  <si>
    <t>42°25'34.82028"S</t>
  </si>
  <si>
    <t>173°40'51.84031"E</t>
  </si>
  <si>
    <t>c s 8</t>
  </si>
  <si>
    <t>42°25'34.63711"S</t>
  </si>
  <si>
    <t>173°40'51.69439"E</t>
  </si>
  <si>
    <t>c s 9</t>
  </si>
  <si>
    <t>42°25'34.68735"S</t>
  </si>
  <si>
    <t>173°40'51.61797"E</t>
  </si>
  <si>
    <t>c s 10</t>
  </si>
  <si>
    <t>42°25'34.67723"S</t>
  </si>
  <si>
    <t>173°40'51.60943"E</t>
  </si>
  <si>
    <t>c s 11</t>
  </si>
  <si>
    <t>42°25'34.45984"S</t>
  </si>
  <si>
    <t>173°40'51.31573"E</t>
  </si>
  <si>
    <t>c s 12</t>
  </si>
  <si>
    <t>42°25'34.44999"S</t>
  </si>
  <si>
    <t>173°40'51.36277"E</t>
  </si>
  <si>
    <t>c s 13</t>
  </si>
  <si>
    <t>42°25'34.52408"S</t>
  </si>
  <si>
    <t>173°40'51.26707"E</t>
  </si>
  <si>
    <t>c s 14</t>
  </si>
  <si>
    <t>42°25'34.56893"S</t>
  </si>
  <si>
    <t>173°40'51.15984"E</t>
  </si>
  <si>
    <t>c s 15</t>
  </si>
  <si>
    <t>42°25'34.53312"S</t>
  </si>
  <si>
    <t>173°40'51.15360"E</t>
  </si>
  <si>
    <t>c s 16</t>
  </si>
  <si>
    <t>42°25'34.56773"S</t>
  </si>
  <si>
    <t>173°40'51.12637"E</t>
  </si>
  <si>
    <t>c s 17</t>
  </si>
  <si>
    <t>42°25'34.50206"S</t>
  </si>
  <si>
    <t>173°40'50.90903"E</t>
  </si>
  <si>
    <t>c s 18</t>
  </si>
  <si>
    <t>42°25'34.49905"S</t>
  </si>
  <si>
    <t>173°40'50.95157"E</t>
  </si>
  <si>
    <t>c s 19</t>
  </si>
  <si>
    <t>42°25'34.51594"S</t>
  </si>
  <si>
    <t>173°40'50.83345"E</t>
  </si>
  <si>
    <t>c s 20</t>
  </si>
  <si>
    <t>42°25'34.45344"S</t>
  </si>
  <si>
    <t>173°40'50.52825"E</t>
  </si>
  <si>
    <t>water mean</t>
  </si>
  <si>
    <t>7.25pm</t>
  </si>
  <si>
    <t>7.39pm</t>
  </si>
  <si>
    <t>South Bay Harbour</t>
  </si>
  <si>
    <t xml:space="preserve">Carpophyllum </t>
  </si>
  <si>
    <t>All data</t>
  </si>
  <si>
    <r>
      <rPr>
        <i/>
        <sz val="11"/>
        <color theme="1"/>
        <rFont val="Calibri"/>
        <family val="2"/>
        <scheme val="minor"/>
      </rPr>
      <t xml:space="preserve">Durvillaea </t>
    </r>
    <r>
      <rPr>
        <sz val="11"/>
        <color theme="1"/>
        <rFont val="Calibri"/>
        <family val="2"/>
        <scheme val="minor"/>
      </rPr>
      <t>sheltered</t>
    </r>
  </si>
  <si>
    <r>
      <rPr>
        <i/>
        <sz val="11"/>
        <color theme="1"/>
        <rFont val="Calibri"/>
        <family val="2"/>
        <scheme val="minor"/>
      </rPr>
      <t>Durvillaea</t>
    </r>
    <r>
      <rPr>
        <sz val="11"/>
        <color theme="1"/>
        <rFont val="Calibri"/>
        <family val="2"/>
        <scheme val="minor"/>
      </rPr>
      <t xml:space="preserve"> exposed</t>
    </r>
  </si>
  <si>
    <r>
      <rPr>
        <i/>
        <sz val="11"/>
        <color theme="1"/>
        <rFont val="Calibri"/>
        <family val="2"/>
        <scheme val="minor"/>
      </rPr>
      <t>Carpophyllum</t>
    </r>
    <r>
      <rPr>
        <sz val="11"/>
        <color theme="1"/>
        <rFont val="Calibri"/>
        <family val="2"/>
        <scheme val="minor"/>
      </rPr>
      <t xml:space="preserve"> sheltered</t>
    </r>
  </si>
  <si>
    <r>
      <rPr>
        <i/>
        <sz val="11"/>
        <color theme="1"/>
        <rFont val="Calibri"/>
        <family val="2"/>
        <scheme val="minor"/>
      </rPr>
      <t>Carpophyllum</t>
    </r>
    <r>
      <rPr>
        <sz val="11"/>
        <color theme="1"/>
        <rFont val="Calibri"/>
        <family val="2"/>
        <scheme val="minor"/>
      </rPr>
      <t xml:space="preserve"> exposed</t>
    </r>
  </si>
  <si>
    <t>water2_tg</t>
  </si>
  <si>
    <t>CMR</t>
  </si>
  <si>
    <t>SKK</t>
  </si>
  <si>
    <t>Elev (m)</t>
  </si>
  <si>
    <t>Utg</t>
  </si>
  <si>
    <t>MLWS tg</t>
  </si>
  <si>
    <t xml:space="preserve">All </t>
  </si>
  <si>
    <t>X=((H+OM)-Utg)-MLWS</t>
  </si>
  <si>
    <t>X cdg</t>
  </si>
  <si>
    <t>Exposure</t>
  </si>
  <si>
    <t>SUMMARY OF RTK CALIBRATION Xcdg</t>
  </si>
  <si>
    <t>Latitude</t>
  </si>
  <si>
    <t>Longitude</t>
  </si>
  <si>
    <r>
      <t>U</t>
    </r>
    <r>
      <rPr>
        <b/>
        <vertAlign val="subscript"/>
        <sz val="11"/>
        <rFont val="Calibri"/>
        <family val="2"/>
        <scheme val="minor"/>
      </rPr>
      <t>B(TG)</t>
    </r>
  </si>
  <si>
    <r>
      <t>Mean U</t>
    </r>
    <r>
      <rPr>
        <b/>
        <vertAlign val="subscript"/>
        <sz val="11"/>
        <rFont val="Calibri"/>
        <family val="2"/>
        <scheme val="minor"/>
      </rPr>
      <t>B(TG)</t>
    </r>
    <r>
      <rPr>
        <b/>
        <sz val="11"/>
        <rFont val="Calibri"/>
        <family val="2"/>
        <scheme val="minor"/>
      </rPr>
      <t xml:space="preserve"> per site</t>
    </r>
  </si>
  <si>
    <r>
      <t xml:space="preserve">X </t>
    </r>
    <r>
      <rPr>
        <b/>
        <vertAlign val="subscript"/>
        <sz val="11"/>
        <rFont val="Calibri"/>
        <family val="2"/>
        <scheme val="minor"/>
      </rPr>
      <t>C/D</t>
    </r>
    <r>
      <rPr>
        <b/>
        <sz val="11"/>
        <rFont val="Calibri"/>
        <family val="2"/>
        <scheme val="minor"/>
      </rPr>
      <t xml:space="preserve"> </t>
    </r>
  </si>
  <si>
    <t>(see table 4 tab)</t>
  </si>
  <si>
    <t>Table 4</t>
  </si>
  <si>
    <t>MIN</t>
  </si>
  <si>
    <t>MAX</t>
  </si>
  <si>
    <t>Data point</t>
  </si>
  <si>
    <r>
      <t>X</t>
    </r>
    <r>
      <rPr>
        <b/>
        <vertAlign val="subscript"/>
        <sz val="11"/>
        <rFont val="Calibri"/>
        <family val="2"/>
        <scheme val="minor"/>
      </rPr>
      <t>C/D/G</t>
    </r>
  </si>
  <si>
    <r>
      <t>H</t>
    </r>
    <r>
      <rPr>
        <b/>
        <vertAlign val="subscript"/>
        <sz val="11"/>
        <rFont val="Calibri"/>
        <family val="2"/>
        <scheme val="minor"/>
      </rPr>
      <t>NIWA</t>
    </r>
    <r>
      <rPr>
        <b/>
        <sz val="11"/>
        <rFont val="Calibri"/>
        <family val="2"/>
        <scheme val="minor"/>
      </rPr>
      <t xml:space="preserve"> = h1+(h2-h1)[(cosA+1)/2]</t>
    </r>
  </si>
  <si>
    <t>Equation 4</t>
  </si>
  <si>
    <t>plus 1</t>
  </si>
  <si>
    <t>uncertain</t>
  </si>
  <si>
    <r>
      <t>H</t>
    </r>
    <r>
      <rPr>
        <b/>
        <vertAlign val="subscript"/>
        <sz val="11"/>
        <rFont val="Calibri"/>
        <family val="2"/>
        <scheme val="minor"/>
      </rPr>
      <t>LINZ</t>
    </r>
    <r>
      <rPr>
        <b/>
        <sz val="11"/>
        <rFont val="Calibri"/>
        <family val="2"/>
        <scheme val="minor"/>
      </rPr>
      <t xml:space="preserve"> = h1+(h2-h1)[(cosA+1)/2]</t>
    </r>
  </si>
  <si>
    <t>AN</t>
  </si>
  <si>
    <t>Site mean</t>
  </si>
  <si>
    <t>Site SD</t>
  </si>
  <si>
    <t>OM (m)</t>
  </si>
  <si>
    <t>H (m)</t>
  </si>
  <si>
    <t xml:space="preserve">AN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</si>
</sst>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00"/>
    <numFmt numFmtId="167" formatCode="[$-F400]h:mm:ss\ AM/PM"/>
  </numFmts>
  <fonts count="14"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b/>
      <sz val="11"/>
      <name val="Calibri"/>
      <family val="2"/>
      <scheme val="minor"/>
    </font>
    <font>
      <sz val="11"/>
      <name val="Calibri"/>
      <family val="2"/>
      <scheme val="minor"/>
    </font>
    <font>
      <sz val="11"/>
      <color theme="1"/>
      <name val="Calibri"/>
      <family val="2"/>
    </font>
    <font>
      <b/>
      <sz val="9"/>
      <color indexed="81"/>
      <name val="Tahoma"/>
      <family val="2"/>
    </font>
    <font>
      <sz val="9"/>
      <color indexed="81"/>
      <name val="Tahoma"/>
      <family val="2"/>
    </font>
    <font>
      <b/>
      <sz val="11"/>
      <color rgb="FFFF0000"/>
      <name val="Calibri"/>
      <family val="2"/>
      <scheme val="minor"/>
    </font>
    <font>
      <i/>
      <sz val="11"/>
      <color theme="1"/>
      <name val="Calibri"/>
      <family val="2"/>
      <scheme val="minor"/>
    </font>
    <font>
      <b/>
      <i/>
      <sz val="11"/>
      <color theme="1"/>
      <name val="Calibri"/>
      <family val="2"/>
      <scheme val="minor"/>
    </font>
    <font>
      <b/>
      <vertAlign val="subscript"/>
      <sz val="11"/>
      <name val="Calibri"/>
      <family val="2"/>
      <scheme val="minor"/>
    </font>
    <font>
      <i/>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3" tint="0.79998168889431442"/>
        <bgColor indexed="64"/>
      </patternFill>
    </fill>
    <fill>
      <patternFill patternType="solid">
        <fgColor theme="5"/>
        <bgColor indexed="64"/>
      </patternFill>
    </fill>
    <fill>
      <patternFill patternType="solid">
        <fgColor theme="9" tint="0.39997558519241921"/>
        <bgColor indexed="64"/>
      </patternFill>
    </fill>
    <fill>
      <patternFill patternType="solid">
        <fgColor theme="4" tint="0.59999389629810485"/>
        <bgColor indexed="64"/>
      </patternFill>
    </fill>
  </fills>
  <borders count="3">
    <border>
      <left/>
      <right/>
      <top/>
      <bottom/>
      <diagonal/>
    </border>
    <border>
      <left/>
      <right/>
      <top/>
      <bottom style="thin">
        <color indexed="64"/>
      </bottom>
      <diagonal/>
    </border>
    <border>
      <left style="thin">
        <color indexed="64"/>
      </left>
      <right/>
      <top/>
      <bottom/>
      <diagonal/>
    </border>
  </borders>
  <cellStyleXfs count="1">
    <xf numFmtId="0" fontId="0" fillId="0" borderId="0"/>
  </cellStyleXfs>
  <cellXfs count="86">
    <xf numFmtId="0" fontId="0" fillId="0" borderId="0" xfId="0"/>
    <xf numFmtId="0" fontId="1" fillId="0" borderId="0" xfId="0" applyFont="1"/>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0" fillId="0" borderId="0" xfId="0" applyFill="1" applyBorder="1" applyAlignment="1">
      <alignment horizontal="center" vertical="center"/>
    </xf>
    <xf numFmtId="15" fontId="0" fillId="0" borderId="0" xfId="0" applyNumberFormat="1" applyFill="1" applyBorder="1" applyAlignment="1">
      <alignment horizontal="center" vertical="center"/>
    </xf>
    <xf numFmtId="20" fontId="0" fillId="0" borderId="0" xfId="0" applyNumberFormat="1" applyFill="1" applyBorder="1" applyAlignment="1">
      <alignment horizontal="center" vertical="center"/>
    </xf>
    <xf numFmtId="0" fontId="0" fillId="4" borderId="0" xfId="0" applyFill="1" applyBorder="1" applyAlignment="1">
      <alignment horizontal="center" vertical="center"/>
    </xf>
    <xf numFmtId="15" fontId="0" fillId="4" borderId="0" xfId="0" applyNumberFormat="1" applyFill="1" applyBorder="1" applyAlignment="1">
      <alignment horizontal="center" vertical="center"/>
    </xf>
    <xf numFmtId="20" fontId="0" fillId="4" borderId="0" xfId="0" applyNumberFormat="1" applyFill="1" applyBorder="1" applyAlignment="1">
      <alignment horizontal="center" vertical="center"/>
    </xf>
    <xf numFmtId="0" fontId="5" fillId="0" borderId="0" xfId="0" applyFont="1" applyFill="1" applyBorder="1"/>
    <xf numFmtId="0" fontId="5" fillId="0" borderId="0" xfId="0" applyFont="1" applyFill="1" applyBorder="1" applyAlignment="1">
      <alignment horizontal="left"/>
    </xf>
    <xf numFmtId="166" fontId="5" fillId="0" borderId="0" xfId="0" applyNumberFormat="1" applyFont="1" applyFill="1" applyBorder="1" applyAlignment="1">
      <alignment horizontal="center" vertical="center"/>
    </xf>
    <xf numFmtId="164" fontId="0" fillId="0" borderId="0" xfId="0" applyNumberFormat="1" applyFill="1" applyBorder="1" applyAlignment="1">
      <alignment horizontal="center" vertical="center"/>
    </xf>
    <xf numFmtId="2" fontId="0" fillId="0" borderId="0" xfId="0" applyNumberFormat="1" applyAlignment="1">
      <alignment horizontal="center"/>
    </xf>
    <xf numFmtId="164" fontId="0" fillId="7" borderId="0" xfId="0" applyNumberFormat="1" applyFill="1" applyBorder="1" applyAlignment="1">
      <alignment horizontal="center" vertical="center"/>
    </xf>
    <xf numFmtId="164" fontId="0" fillId="6" borderId="0" xfId="0" applyNumberFormat="1" applyFill="1" applyBorder="1" applyAlignment="1">
      <alignment horizontal="center" vertical="center"/>
    </xf>
    <xf numFmtId="164" fontId="0" fillId="5" borderId="0" xfId="0" applyNumberFormat="1" applyFill="1" applyBorder="1" applyAlignment="1">
      <alignment horizontal="center" vertical="center"/>
    </xf>
    <xf numFmtId="164" fontId="0" fillId="3" borderId="0" xfId="0" applyNumberFormat="1" applyFill="1" applyBorder="1" applyAlignment="1">
      <alignment horizontal="center" vertical="center"/>
    </xf>
    <xf numFmtId="0" fontId="0" fillId="0" borderId="0" xfId="0" applyFill="1" applyBorder="1" applyAlignment="1">
      <alignment horizontal="right" vertical="center"/>
    </xf>
    <xf numFmtId="0" fontId="0" fillId="0" borderId="2" xfId="0" applyBorder="1"/>
    <xf numFmtId="0" fontId="9" fillId="0" borderId="2" xfId="0" applyFont="1" applyBorder="1"/>
    <xf numFmtId="167" fontId="0" fillId="0" borderId="0" xfId="0" applyNumberFormat="1"/>
    <xf numFmtId="14" fontId="0" fillId="0" borderId="0" xfId="0" applyNumberFormat="1"/>
    <xf numFmtId="0" fontId="10" fillId="0" borderId="0" xfId="0" applyFont="1"/>
    <xf numFmtId="0" fontId="1" fillId="0" borderId="0" xfId="0" applyFont="1" applyAlignment="1">
      <alignment horizontal="center"/>
    </xf>
    <xf numFmtId="0" fontId="11" fillId="0" borderId="2" xfId="0" applyFont="1" applyBorder="1"/>
    <xf numFmtId="0" fontId="1" fillId="0" borderId="2" xfId="0" applyFont="1" applyBorder="1"/>
    <xf numFmtId="0" fontId="4" fillId="0" borderId="0" xfId="0" applyFont="1" applyBorder="1"/>
    <xf numFmtId="0" fontId="4" fillId="0" borderId="0" xfId="0" applyFont="1" applyBorder="1" applyAlignment="1">
      <alignment horizontal="center"/>
    </xf>
    <xf numFmtId="0" fontId="4" fillId="2" borderId="0" xfId="0" applyFont="1" applyFill="1" applyBorder="1"/>
    <xf numFmtId="0" fontId="4" fillId="0" borderId="0" xfId="0" applyFont="1" applyFill="1" applyBorder="1"/>
    <xf numFmtId="0" fontId="5" fillId="0" borderId="0" xfId="0" applyFont="1" applyBorder="1"/>
    <xf numFmtId="164" fontId="5" fillId="0" borderId="0" xfId="0" applyNumberFormat="1" applyFont="1" applyBorder="1"/>
    <xf numFmtId="1" fontId="5" fillId="0" borderId="0" xfId="0" applyNumberFormat="1" applyFont="1" applyFill="1" applyBorder="1" applyAlignment="1">
      <alignment horizontal="center"/>
    </xf>
    <xf numFmtId="15" fontId="5" fillId="0" borderId="0" xfId="0" applyNumberFormat="1" applyFont="1" applyFill="1" applyBorder="1" applyAlignment="1">
      <alignment horizontal="center"/>
    </xf>
    <xf numFmtId="0" fontId="13" fillId="0" borderId="0" xfId="0" applyFont="1" applyFill="1" applyBorder="1"/>
    <xf numFmtId="164" fontId="5" fillId="0" borderId="0" xfId="0" applyNumberFormat="1" applyFont="1" applyFill="1" applyBorder="1"/>
    <xf numFmtId="0" fontId="5" fillId="0" borderId="0" xfId="0" applyFont="1" applyFill="1" applyBorder="1" applyAlignment="1">
      <alignment horizontal="center"/>
    </xf>
    <xf numFmtId="167" fontId="5" fillId="0" borderId="0" xfId="0" applyNumberFormat="1" applyFont="1" applyBorder="1"/>
    <xf numFmtId="165" fontId="5" fillId="0" borderId="0" xfId="0" applyNumberFormat="1" applyFont="1" applyFill="1" applyBorder="1"/>
    <xf numFmtId="0" fontId="5" fillId="0" borderId="0" xfId="0" applyFont="1" applyBorder="1" applyAlignment="1">
      <alignment horizontal="center"/>
    </xf>
    <xf numFmtId="0" fontId="10" fillId="0" borderId="0" xfId="0" applyFont="1" applyFill="1" applyBorder="1" applyAlignment="1">
      <alignment horizontal="center" vertical="center"/>
    </xf>
    <xf numFmtId="0" fontId="10" fillId="4" borderId="0" xfId="0" applyFont="1" applyFill="1" applyBorder="1" applyAlignment="1">
      <alignment horizontal="center" vertical="center"/>
    </xf>
    <xf numFmtId="0" fontId="1" fillId="0" borderId="0" xfId="0" applyFont="1" applyFill="1" applyBorder="1" applyAlignment="1">
      <alignment horizontal="center"/>
    </xf>
    <xf numFmtId="0" fontId="0" fillId="0" borderId="0" xfId="0" applyFont="1" applyFill="1" applyBorder="1" applyAlignment="1">
      <alignment horizontal="center"/>
    </xf>
    <xf numFmtId="0" fontId="0" fillId="3" borderId="0" xfId="0" applyFont="1" applyFill="1" applyBorder="1" applyAlignment="1">
      <alignment horizontal="center"/>
    </xf>
    <xf numFmtId="0" fontId="0" fillId="5" borderId="0" xfId="0" applyFont="1" applyFill="1" applyBorder="1" applyAlignment="1">
      <alignment horizontal="center"/>
    </xf>
    <xf numFmtId="0" fontId="0" fillId="7" borderId="0" xfId="0" applyFont="1" applyFill="1" applyBorder="1" applyAlignment="1">
      <alignment horizontal="center"/>
    </xf>
    <xf numFmtId="0" fontId="0" fillId="6" borderId="0" xfId="0" applyFont="1" applyFill="1" applyBorder="1" applyAlignment="1">
      <alignment horizontal="center"/>
    </xf>
    <xf numFmtId="0" fontId="4" fillId="0" borderId="0" xfId="0" applyFont="1" applyFill="1" applyBorder="1" applyAlignment="1">
      <alignment horizontal="center"/>
    </xf>
    <xf numFmtId="14" fontId="5" fillId="0" borderId="0" xfId="0" applyNumberFormat="1" applyFont="1" applyFill="1" applyBorder="1" applyAlignment="1">
      <alignment horizontal="center"/>
    </xf>
    <xf numFmtId="20" fontId="5" fillId="0" borderId="0" xfId="0" applyNumberFormat="1" applyFont="1" applyFill="1" applyBorder="1" applyAlignment="1">
      <alignment horizontal="center"/>
    </xf>
    <xf numFmtId="164" fontId="5" fillId="0" borderId="0" xfId="0" applyNumberFormat="1" applyFont="1" applyFill="1" applyBorder="1" applyAlignment="1">
      <alignment horizontal="center" vertical="center"/>
    </xf>
    <xf numFmtId="164" fontId="5" fillId="0" borderId="0" xfId="0" applyNumberFormat="1" applyFont="1" applyFill="1" applyBorder="1" applyAlignment="1">
      <alignment horizontal="center"/>
    </xf>
    <xf numFmtId="165" fontId="5" fillId="0" borderId="0" xfId="0" applyNumberFormat="1" applyFont="1" applyFill="1" applyBorder="1" applyAlignment="1">
      <alignment horizontal="center"/>
    </xf>
    <xf numFmtId="0" fontId="13" fillId="0" borderId="0" xfId="0" applyFont="1" applyFill="1" applyBorder="1" applyAlignment="1">
      <alignment horizontal="center"/>
    </xf>
    <xf numFmtId="0" fontId="5" fillId="0" borderId="0" xfId="0" applyFont="1" applyFill="1"/>
    <xf numFmtId="14" fontId="5" fillId="0" borderId="0" xfId="0" applyNumberFormat="1" applyFont="1" applyFill="1"/>
    <xf numFmtId="164" fontId="5" fillId="0" borderId="0" xfId="0" applyNumberFormat="1" applyFont="1" applyFill="1"/>
    <xf numFmtId="20" fontId="5" fillId="0" borderId="0" xfId="0" applyNumberFormat="1" applyFont="1" applyFill="1"/>
    <xf numFmtId="0" fontId="5" fillId="0" borderId="1" xfId="0" applyFont="1" applyFill="1" applyBorder="1"/>
    <xf numFmtId="14" fontId="5" fillId="0" borderId="0" xfId="0" applyNumberFormat="1" applyFont="1" applyFill="1" applyAlignment="1">
      <alignment horizontal="center"/>
    </xf>
    <xf numFmtId="0" fontId="5" fillId="0" borderId="0" xfId="0" applyFont="1" applyFill="1" applyAlignment="1">
      <alignment horizontal="center"/>
    </xf>
    <xf numFmtId="1" fontId="5" fillId="0" borderId="0" xfId="0" applyNumberFormat="1" applyFont="1" applyFill="1"/>
    <xf numFmtId="1" fontId="5" fillId="0" borderId="0" xfId="0" applyNumberFormat="1" applyFont="1" applyFill="1" applyAlignment="1">
      <alignment horizontal="center"/>
    </xf>
    <xf numFmtId="0" fontId="4" fillId="0" borderId="0" xfId="0" applyFont="1" applyFill="1"/>
    <xf numFmtId="0" fontId="13" fillId="0" borderId="0" xfId="0" applyFont="1" applyFill="1"/>
    <xf numFmtId="164" fontId="4" fillId="0" borderId="0" xfId="0" applyNumberFormat="1" applyFont="1" applyFill="1"/>
    <xf numFmtId="0" fontId="4" fillId="0" borderId="0" xfId="0" applyFont="1" applyFill="1" applyBorder="1" applyAlignment="1">
      <alignment horizontal="left"/>
    </xf>
    <xf numFmtId="164" fontId="5" fillId="0" borderId="0" xfId="0" applyNumberFormat="1" applyFont="1" applyFill="1" applyBorder="1" applyAlignment="1">
      <alignment horizontal="left"/>
    </xf>
    <xf numFmtId="0" fontId="1" fillId="0" borderId="0" xfId="0" applyFont="1" applyFill="1" applyBorder="1" applyAlignment="1">
      <alignment horizontal="left"/>
    </xf>
    <xf numFmtId="0" fontId="0" fillId="0" borderId="0" xfId="0" applyFill="1" applyBorder="1" applyAlignment="1">
      <alignment horizontal="left"/>
    </xf>
    <xf numFmtId="14" fontId="0" fillId="0" borderId="0" xfId="0" applyNumberFormat="1" applyFill="1" applyBorder="1" applyAlignment="1">
      <alignment horizontal="left"/>
    </xf>
    <xf numFmtId="0" fontId="10" fillId="0" borderId="0" xfId="0" applyFont="1" applyFill="1" applyBorder="1" applyAlignment="1">
      <alignment horizontal="left"/>
    </xf>
    <xf numFmtId="164" fontId="0" fillId="0" borderId="0" xfId="0" applyNumberFormat="1" applyFill="1" applyBorder="1" applyAlignment="1">
      <alignment horizontal="left"/>
    </xf>
    <xf numFmtId="164" fontId="1" fillId="0" borderId="0" xfId="0" applyNumberFormat="1" applyFont="1" applyFill="1" applyBorder="1" applyAlignment="1">
      <alignment horizontal="left"/>
    </xf>
    <xf numFmtId="0" fontId="0" fillId="0" borderId="0" xfId="0" applyFont="1" applyFill="1" applyBorder="1" applyAlignment="1">
      <alignment horizontal="center" vertical="center"/>
    </xf>
    <xf numFmtId="15" fontId="0" fillId="0" borderId="0" xfId="0" applyNumberFormat="1" applyFont="1" applyFill="1" applyBorder="1" applyAlignment="1">
      <alignment horizontal="center" vertical="center"/>
    </xf>
    <xf numFmtId="20" fontId="0" fillId="0" borderId="0" xfId="0" applyNumberFormat="1" applyFont="1" applyFill="1" applyBorder="1" applyAlignment="1">
      <alignment horizontal="center" vertical="center"/>
    </xf>
    <xf numFmtId="164" fontId="0" fillId="0" borderId="0" xfId="0" applyNumberFormat="1" applyFont="1" applyFill="1" applyBorder="1" applyAlignment="1">
      <alignment horizontal="center" vertical="center"/>
    </xf>
    <xf numFmtId="164" fontId="0" fillId="0" borderId="0" xfId="0" applyNumberFormat="1" applyFont="1" applyFill="1" applyBorder="1" applyAlignment="1">
      <alignment horizontal="center"/>
    </xf>
    <xf numFmtId="2" fontId="0" fillId="0" borderId="0" xfId="0" applyNumberFormat="1" applyFont="1" applyFill="1" applyBorder="1" applyAlignment="1">
      <alignment horizontal="center"/>
    </xf>
    <xf numFmtId="14" fontId="0" fillId="0" borderId="0" xfId="0" applyNumberFormat="1" applyFont="1" applyFill="1" applyBorder="1" applyAlignment="1">
      <alignment horizontal="center"/>
    </xf>
    <xf numFmtId="167" fontId="0" fillId="0" borderId="0" xfId="0" applyNumberFormat="1" applyFont="1" applyFill="1" applyBorder="1" applyAlignment="1">
      <alignment horizontal="center"/>
    </xf>
    <xf numFmtId="2" fontId="10" fillId="0" borderId="0" xfId="0" applyNumberFormat="1"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W76"/>
  <sheetViews>
    <sheetView topLeftCell="A30" workbookViewId="0">
      <selection activeCell="E45" sqref="E45:E76"/>
    </sheetView>
  </sheetViews>
  <sheetFormatPr defaultRowHeight="14.4" x14ac:dyDescent="0.3"/>
  <cols>
    <col min="1" max="1" width="13" customWidth="1"/>
    <col min="2" max="3" width="9.109375" customWidth="1"/>
    <col min="4" max="4" width="9.6640625" customWidth="1"/>
    <col min="5" max="5" width="12.88671875" customWidth="1"/>
    <col min="6" max="10" width="9.109375" customWidth="1"/>
    <col min="15" max="15" width="8.33203125" customWidth="1"/>
    <col min="16" max="17" width="9.109375" customWidth="1"/>
    <col min="18" max="18" width="12.77734375" style="20" customWidth="1"/>
    <col min="20" max="20" width="11.109375" bestFit="1" customWidth="1"/>
    <col min="26" max="26" width="10.33203125" bestFit="1" customWidth="1"/>
  </cols>
  <sheetData>
    <row r="2" spans="1:23" s="1" customFormat="1" x14ac:dyDescent="0.3">
      <c r="A2" s="1" t="s">
        <v>0</v>
      </c>
      <c r="B2" s="1" t="s">
        <v>1</v>
      </c>
      <c r="C2" s="1" t="s">
        <v>2</v>
      </c>
      <c r="D2" s="1" t="s">
        <v>3</v>
      </c>
      <c r="E2" s="1" t="s">
        <v>4</v>
      </c>
      <c r="F2" s="1" t="s">
        <v>5</v>
      </c>
      <c r="G2" s="1" t="s">
        <v>6</v>
      </c>
      <c r="H2" s="1" t="s">
        <v>7</v>
      </c>
      <c r="I2" s="1" t="s">
        <v>8</v>
      </c>
      <c r="J2" s="1" t="s">
        <v>660</v>
      </c>
      <c r="K2" s="1" t="s">
        <v>9</v>
      </c>
      <c r="L2" s="1" t="s">
        <v>666</v>
      </c>
      <c r="M2" s="1" t="s">
        <v>445</v>
      </c>
      <c r="N2" s="1" t="s">
        <v>438</v>
      </c>
      <c r="O2" s="1" t="s">
        <v>665</v>
      </c>
      <c r="P2" s="1" t="s">
        <v>661</v>
      </c>
      <c r="Q2" s="1" t="s">
        <v>662</v>
      </c>
      <c r="R2" s="21" t="s">
        <v>664</v>
      </c>
    </row>
    <row r="3" spans="1:23" x14ac:dyDescent="0.3">
      <c r="A3" t="s">
        <v>201</v>
      </c>
      <c r="B3" t="s">
        <v>202</v>
      </c>
      <c r="C3" t="s">
        <v>658</v>
      </c>
      <c r="D3" s="23">
        <v>42768</v>
      </c>
      <c r="E3" s="22">
        <v>0.56666666666666665</v>
      </c>
      <c r="F3" t="s">
        <v>203</v>
      </c>
      <c r="G3" t="s">
        <v>204</v>
      </c>
      <c r="H3">
        <v>1657677.2749999999</v>
      </c>
      <c r="I3">
        <v>5304028.9400000004</v>
      </c>
      <c r="J3">
        <v>11.645</v>
      </c>
      <c r="N3">
        <v>1.91</v>
      </c>
    </row>
    <row r="4" spans="1:23" x14ac:dyDescent="0.3">
      <c r="A4" t="s">
        <v>206</v>
      </c>
      <c r="B4" t="s">
        <v>202</v>
      </c>
      <c r="C4" t="s">
        <v>658</v>
      </c>
      <c r="D4" s="23">
        <v>42768</v>
      </c>
      <c r="E4" s="22">
        <v>0.56736111111111109</v>
      </c>
      <c r="F4" t="s">
        <v>207</v>
      </c>
      <c r="G4" t="s">
        <v>208</v>
      </c>
      <c r="H4">
        <v>1657679.7609999999</v>
      </c>
      <c r="I4">
        <v>5304029.8490000004</v>
      </c>
      <c r="J4">
        <v>11.994</v>
      </c>
      <c r="K4" s="24" t="s">
        <v>11</v>
      </c>
      <c r="L4" t="s">
        <v>12</v>
      </c>
      <c r="M4">
        <f>J4-J$3</f>
        <v>0.3490000000000002</v>
      </c>
      <c r="N4">
        <v>1.91</v>
      </c>
      <c r="O4">
        <f>((N4+M4)-0.96)-1.1</f>
        <v>0.19900000000000029</v>
      </c>
      <c r="P4">
        <v>0.96</v>
      </c>
      <c r="Q4">
        <v>1.1000000000000001</v>
      </c>
      <c r="R4" s="27" t="s">
        <v>667</v>
      </c>
    </row>
    <row r="5" spans="1:23" x14ac:dyDescent="0.3">
      <c r="A5" t="s">
        <v>209</v>
      </c>
      <c r="B5" t="s">
        <v>202</v>
      </c>
      <c r="C5" t="s">
        <v>658</v>
      </c>
      <c r="D5" s="23">
        <v>42768</v>
      </c>
      <c r="E5" s="22">
        <v>0.56736111111111109</v>
      </c>
      <c r="F5" t="s">
        <v>210</v>
      </c>
      <c r="G5" t="s">
        <v>211</v>
      </c>
      <c r="H5">
        <v>1657679.186</v>
      </c>
      <c r="I5">
        <v>5304030.7189999996</v>
      </c>
      <c r="J5">
        <v>12.055</v>
      </c>
      <c r="K5" s="24" t="s">
        <v>11</v>
      </c>
      <c r="L5" t="s">
        <v>12</v>
      </c>
      <c r="M5">
        <f t="shared" ref="M5:M23" si="0">J5-J$3</f>
        <v>0.41000000000000014</v>
      </c>
      <c r="N5">
        <v>1.91</v>
      </c>
      <c r="O5">
        <f t="shared" ref="O5:O66" si="1">((N5+M5)-0.96)-1.1</f>
        <v>0.26000000000000023</v>
      </c>
      <c r="R5" s="27" t="s">
        <v>496</v>
      </c>
      <c r="S5" s="25" t="s">
        <v>497</v>
      </c>
      <c r="T5" s="25" t="s">
        <v>498</v>
      </c>
      <c r="U5" s="25" t="s">
        <v>499</v>
      </c>
      <c r="V5" s="25" t="s">
        <v>500</v>
      </c>
      <c r="W5" s="25" t="s">
        <v>501</v>
      </c>
    </row>
    <row r="6" spans="1:23" x14ac:dyDescent="0.3">
      <c r="A6" t="s">
        <v>212</v>
      </c>
      <c r="B6" t="s">
        <v>202</v>
      </c>
      <c r="C6" t="s">
        <v>658</v>
      </c>
      <c r="D6" s="23">
        <v>42768</v>
      </c>
      <c r="E6" s="22">
        <v>0.56805555555555554</v>
      </c>
      <c r="F6" t="s">
        <v>213</v>
      </c>
      <c r="G6" t="s">
        <v>214</v>
      </c>
      <c r="H6">
        <v>1657664.0830000001</v>
      </c>
      <c r="I6">
        <v>5304019.7319999998</v>
      </c>
      <c r="J6">
        <v>12.11</v>
      </c>
      <c r="K6" s="24" t="s">
        <v>11</v>
      </c>
      <c r="L6" t="s">
        <v>12</v>
      </c>
      <c r="M6">
        <f t="shared" si="0"/>
        <v>0.46499999999999986</v>
      </c>
      <c r="N6">
        <v>1.91</v>
      </c>
      <c r="O6">
        <f t="shared" si="1"/>
        <v>0.31499999999999995</v>
      </c>
      <c r="R6" s="27" t="s">
        <v>663</v>
      </c>
      <c r="S6" s="14">
        <f>AVERAGE(O4:O23,O25:O43,O45:O76)</f>
        <v>0.31216901408450753</v>
      </c>
      <c r="T6" s="14">
        <f>STDEVA(O4:O23,O25:O43,O45:O76)</f>
        <v>0.1044300156516992</v>
      </c>
      <c r="U6" s="14">
        <f>MEDIAN(O4:O23,O25:O43,O45:O76)</f>
        <v>0.31900000000000128</v>
      </c>
      <c r="V6" s="14">
        <f>MAX(O4:O23,O25:O43,O45:O76)</f>
        <v>0.49500000000000144</v>
      </c>
      <c r="W6" s="14">
        <f>MIN(O4:O23,O25:O43,O45:O76)</f>
        <v>5.0000000000007816E-3</v>
      </c>
    </row>
    <row r="7" spans="1:23" x14ac:dyDescent="0.3">
      <c r="A7" t="s">
        <v>215</v>
      </c>
      <c r="B7" t="s">
        <v>202</v>
      </c>
      <c r="C7" t="s">
        <v>658</v>
      </c>
      <c r="D7" s="23">
        <v>42768</v>
      </c>
      <c r="E7" s="22">
        <v>0.56805555555555554</v>
      </c>
      <c r="F7" t="s">
        <v>216</v>
      </c>
      <c r="G7" t="s">
        <v>217</v>
      </c>
      <c r="H7">
        <v>1657661.888</v>
      </c>
      <c r="I7">
        <v>5304024.9680000003</v>
      </c>
      <c r="J7">
        <v>12.089</v>
      </c>
      <c r="K7" s="24" t="s">
        <v>11</v>
      </c>
      <c r="L7" t="s">
        <v>12</v>
      </c>
      <c r="M7">
        <f t="shared" si="0"/>
        <v>0.44400000000000084</v>
      </c>
      <c r="N7">
        <v>1.91</v>
      </c>
      <c r="O7">
        <f t="shared" si="1"/>
        <v>0.29400000000000093</v>
      </c>
      <c r="R7" s="26" t="s">
        <v>11</v>
      </c>
      <c r="S7" s="14">
        <f>AVERAGE(O4:O23,O25:O43)</f>
        <v>0.25551282051282076</v>
      </c>
      <c r="T7" s="14">
        <f>STDEVA(O4:O23,O25:O43)</f>
        <v>9.1624482994124706E-2</v>
      </c>
      <c r="U7" s="14">
        <f>MEDIAN(O4:O23,O25:O43)</f>
        <v>0.25600000000000067</v>
      </c>
      <c r="V7" s="14">
        <f>MAX(O4:O23,O25:O43)</f>
        <v>0.43399999999999972</v>
      </c>
      <c r="W7" s="14">
        <f>MIN(O4:O23,O25:O43)</f>
        <v>5.0000000000007816E-3</v>
      </c>
    </row>
    <row r="8" spans="1:23" x14ac:dyDescent="0.3">
      <c r="A8" t="s">
        <v>218</v>
      </c>
      <c r="B8" t="s">
        <v>202</v>
      </c>
      <c r="C8" t="s">
        <v>658</v>
      </c>
      <c r="D8" s="23">
        <v>42768</v>
      </c>
      <c r="E8" s="22">
        <v>0.56874999999999998</v>
      </c>
      <c r="F8" t="s">
        <v>219</v>
      </c>
      <c r="G8" t="s">
        <v>220</v>
      </c>
      <c r="H8">
        <v>1657662.4240000001</v>
      </c>
      <c r="I8">
        <v>5304023.7829999998</v>
      </c>
      <c r="J8">
        <v>12.095000000000001</v>
      </c>
      <c r="K8" s="24" t="s">
        <v>11</v>
      </c>
      <c r="L8" t="s">
        <v>12</v>
      </c>
      <c r="M8">
        <f t="shared" si="0"/>
        <v>0.45000000000000107</v>
      </c>
      <c r="N8">
        <v>1.91</v>
      </c>
      <c r="O8">
        <f t="shared" si="1"/>
        <v>0.30000000000000115</v>
      </c>
      <c r="R8" s="26" t="s">
        <v>13</v>
      </c>
      <c r="S8" s="14">
        <f>AVERAGE(O45:O76)</f>
        <v>0.38121875000000044</v>
      </c>
      <c r="T8" s="14">
        <f>STDEVA(O45:O76)</f>
        <v>7.3314054620099572E-2</v>
      </c>
      <c r="U8" s="14">
        <f>MEDIAN(O45:O76)</f>
        <v>0.39200000000000079</v>
      </c>
      <c r="V8" s="14">
        <f>MAX(O45:O76)</f>
        <v>0.49500000000000144</v>
      </c>
      <c r="W8" s="14">
        <f>MIN(O45:O76)</f>
        <v>0.18500000000000094</v>
      </c>
    </row>
    <row r="9" spans="1:23" x14ac:dyDescent="0.3">
      <c r="A9" t="s">
        <v>221</v>
      </c>
      <c r="B9" t="s">
        <v>202</v>
      </c>
      <c r="C9" t="s">
        <v>658</v>
      </c>
      <c r="D9" s="23">
        <v>42768</v>
      </c>
      <c r="E9" s="22">
        <v>0.56944444444444442</v>
      </c>
      <c r="F9" t="s">
        <v>222</v>
      </c>
      <c r="G9" t="s">
        <v>223</v>
      </c>
      <c r="H9">
        <v>1657660.2180000001</v>
      </c>
      <c r="I9">
        <v>5304026.2970000003</v>
      </c>
      <c r="J9">
        <v>12.125999999999999</v>
      </c>
      <c r="K9" s="24" t="s">
        <v>11</v>
      </c>
      <c r="L9" t="s">
        <v>12</v>
      </c>
      <c r="M9">
        <f t="shared" si="0"/>
        <v>0.48099999999999987</v>
      </c>
      <c r="N9">
        <v>1.91</v>
      </c>
      <c r="O9">
        <f t="shared" si="1"/>
        <v>0.33099999999999996</v>
      </c>
    </row>
    <row r="10" spans="1:23" x14ac:dyDescent="0.3">
      <c r="A10" t="s">
        <v>224</v>
      </c>
      <c r="B10" t="s">
        <v>202</v>
      </c>
      <c r="C10" t="s">
        <v>658</v>
      </c>
      <c r="D10" s="23">
        <v>42768</v>
      </c>
      <c r="E10" s="22">
        <v>0.56944444444444442</v>
      </c>
      <c r="F10" t="s">
        <v>225</v>
      </c>
      <c r="G10" t="s">
        <v>226</v>
      </c>
      <c r="H10">
        <v>1657658.942</v>
      </c>
      <c r="I10">
        <v>5304027.4309999999</v>
      </c>
      <c r="J10">
        <v>12.114000000000001</v>
      </c>
      <c r="K10" s="24" t="s">
        <v>11</v>
      </c>
      <c r="L10" t="s">
        <v>12</v>
      </c>
      <c r="M10">
        <f t="shared" si="0"/>
        <v>0.46900000000000119</v>
      </c>
      <c r="N10">
        <v>1.91</v>
      </c>
      <c r="O10">
        <f t="shared" si="1"/>
        <v>0.31900000000000128</v>
      </c>
    </row>
    <row r="11" spans="1:23" x14ac:dyDescent="0.3">
      <c r="A11" t="s">
        <v>227</v>
      </c>
      <c r="B11" t="s">
        <v>202</v>
      </c>
      <c r="C11" t="s">
        <v>658</v>
      </c>
      <c r="D11" s="23">
        <v>42768</v>
      </c>
      <c r="E11" s="22">
        <v>0.57013888888888886</v>
      </c>
      <c r="F11" t="s">
        <v>228</v>
      </c>
      <c r="G11" t="s">
        <v>229</v>
      </c>
      <c r="H11">
        <v>1657658.584</v>
      </c>
      <c r="I11">
        <v>5304028.2120000003</v>
      </c>
      <c r="J11">
        <v>12.103</v>
      </c>
      <c r="K11" s="24" t="s">
        <v>11</v>
      </c>
      <c r="L11" t="s">
        <v>12</v>
      </c>
      <c r="M11">
        <f t="shared" si="0"/>
        <v>0.45800000000000018</v>
      </c>
      <c r="N11">
        <v>1.91</v>
      </c>
      <c r="O11">
        <f t="shared" si="1"/>
        <v>0.30800000000000027</v>
      </c>
    </row>
    <row r="12" spans="1:23" x14ac:dyDescent="0.3">
      <c r="A12" t="s">
        <v>230</v>
      </c>
      <c r="B12" t="s">
        <v>202</v>
      </c>
      <c r="C12" t="s">
        <v>658</v>
      </c>
      <c r="D12" s="23">
        <v>42768</v>
      </c>
      <c r="E12" s="22">
        <v>0.57013888888888886</v>
      </c>
      <c r="F12" t="s">
        <v>231</v>
      </c>
      <c r="G12" t="s">
        <v>232</v>
      </c>
      <c r="H12">
        <v>1657658.27</v>
      </c>
      <c r="I12">
        <v>5304028.1490000002</v>
      </c>
      <c r="J12">
        <v>12.099</v>
      </c>
      <c r="K12" s="24" t="s">
        <v>11</v>
      </c>
      <c r="L12" t="s">
        <v>12</v>
      </c>
      <c r="M12">
        <f t="shared" si="0"/>
        <v>0.45400000000000063</v>
      </c>
      <c r="N12">
        <v>1.91</v>
      </c>
      <c r="O12">
        <f t="shared" si="1"/>
        <v>0.30400000000000071</v>
      </c>
    </row>
    <row r="13" spans="1:23" x14ac:dyDescent="0.3">
      <c r="A13" t="s">
        <v>233</v>
      </c>
      <c r="B13" t="s">
        <v>202</v>
      </c>
      <c r="C13" t="s">
        <v>658</v>
      </c>
      <c r="D13" s="23">
        <v>42768</v>
      </c>
      <c r="E13" s="22">
        <v>0.5708333333333333</v>
      </c>
      <c r="F13" t="s">
        <v>234</v>
      </c>
      <c r="G13" t="s">
        <v>235</v>
      </c>
      <c r="H13">
        <v>1657658.8759999999</v>
      </c>
      <c r="I13">
        <v>5304025.1720000003</v>
      </c>
      <c r="J13">
        <v>12.051</v>
      </c>
      <c r="K13" s="24" t="s">
        <v>11</v>
      </c>
      <c r="L13" t="s">
        <v>12</v>
      </c>
      <c r="M13">
        <f t="shared" si="0"/>
        <v>0.40600000000000058</v>
      </c>
      <c r="N13">
        <v>1.91</v>
      </c>
      <c r="O13">
        <f t="shared" si="1"/>
        <v>0.25600000000000067</v>
      </c>
    </row>
    <row r="14" spans="1:23" x14ac:dyDescent="0.3">
      <c r="A14" t="s">
        <v>236</v>
      </c>
      <c r="B14" t="s">
        <v>202</v>
      </c>
      <c r="C14" t="s">
        <v>658</v>
      </c>
      <c r="D14" s="23">
        <v>42768</v>
      </c>
      <c r="E14" s="22">
        <v>0.57152777777777775</v>
      </c>
      <c r="F14" t="s">
        <v>237</v>
      </c>
      <c r="G14" t="s">
        <v>238</v>
      </c>
      <c r="H14">
        <v>1657655.773</v>
      </c>
      <c r="I14">
        <v>5304026.7939999998</v>
      </c>
      <c r="J14">
        <v>12.085000000000001</v>
      </c>
      <c r="K14" s="24" t="s">
        <v>11</v>
      </c>
      <c r="L14" t="s">
        <v>12</v>
      </c>
      <c r="M14">
        <f t="shared" si="0"/>
        <v>0.44000000000000128</v>
      </c>
      <c r="N14">
        <v>1.91</v>
      </c>
      <c r="O14">
        <f t="shared" si="1"/>
        <v>0.29000000000000137</v>
      </c>
    </row>
    <row r="15" spans="1:23" x14ac:dyDescent="0.3">
      <c r="A15" t="s">
        <v>239</v>
      </c>
      <c r="B15" t="s">
        <v>202</v>
      </c>
      <c r="C15" t="s">
        <v>658</v>
      </c>
      <c r="D15" s="23">
        <v>42768</v>
      </c>
      <c r="E15" s="22">
        <v>0.57152777777777775</v>
      </c>
      <c r="F15" t="s">
        <v>240</v>
      </c>
      <c r="G15" t="s">
        <v>241</v>
      </c>
      <c r="H15">
        <v>1657650.916</v>
      </c>
      <c r="I15">
        <v>5304026.0259999996</v>
      </c>
      <c r="J15">
        <v>12.041</v>
      </c>
      <c r="K15" s="24" t="s">
        <v>11</v>
      </c>
      <c r="L15" t="s">
        <v>12</v>
      </c>
      <c r="M15">
        <f t="shared" si="0"/>
        <v>0.3960000000000008</v>
      </c>
      <c r="N15">
        <v>1.91</v>
      </c>
      <c r="O15">
        <f t="shared" si="1"/>
        <v>0.24600000000000088</v>
      </c>
    </row>
    <row r="16" spans="1:23" x14ac:dyDescent="0.3">
      <c r="A16" t="s">
        <v>242</v>
      </c>
      <c r="B16" t="s">
        <v>202</v>
      </c>
      <c r="C16" t="s">
        <v>658</v>
      </c>
      <c r="D16" s="23">
        <v>42768</v>
      </c>
      <c r="E16" s="22">
        <v>0.57222222222222219</v>
      </c>
      <c r="F16" t="s">
        <v>243</v>
      </c>
      <c r="G16" t="s">
        <v>244</v>
      </c>
      <c r="H16">
        <v>1657649.898</v>
      </c>
      <c r="I16">
        <v>5304026.3810000001</v>
      </c>
      <c r="J16">
        <v>12.03</v>
      </c>
      <c r="K16" s="24" t="s">
        <v>11</v>
      </c>
      <c r="L16" t="s">
        <v>12</v>
      </c>
      <c r="M16">
        <f t="shared" si="0"/>
        <v>0.38499999999999979</v>
      </c>
      <c r="N16">
        <v>1.91</v>
      </c>
      <c r="O16">
        <f t="shared" si="1"/>
        <v>0.23499999999999988</v>
      </c>
    </row>
    <row r="17" spans="1:15" x14ac:dyDescent="0.3">
      <c r="A17" t="s">
        <v>245</v>
      </c>
      <c r="B17" t="s">
        <v>202</v>
      </c>
      <c r="C17" t="s">
        <v>658</v>
      </c>
      <c r="D17" s="23">
        <v>42768</v>
      </c>
      <c r="E17" s="22">
        <v>0.57222222222222219</v>
      </c>
      <c r="F17" t="s">
        <v>246</v>
      </c>
      <c r="G17" t="s">
        <v>247</v>
      </c>
      <c r="H17">
        <v>1657649.23</v>
      </c>
      <c r="I17">
        <v>5304027.3830000004</v>
      </c>
      <c r="J17">
        <v>12.032999999999999</v>
      </c>
      <c r="K17" s="24" t="s">
        <v>11</v>
      </c>
      <c r="L17" t="s">
        <v>12</v>
      </c>
      <c r="M17">
        <f t="shared" si="0"/>
        <v>0.3879999999999999</v>
      </c>
      <c r="N17">
        <v>1.91</v>
      </c>
      <c r="O17">
        <f t="shared" si="1"/>
        <v>0.23799999999999999</v>
      </c>
    </row>
    <row r="18" spans="1:15" x14ac:dyDescent="0.3">
      <c r="A18" t="s">
        <v>248</v>
      </c>
      <c r="B18" t="s">
        <v>202</v>
      </c>
      <c r="C18" t="s">
        <v>658</v>
      </c>
      <c r="D18" s="23">
        <v>42768</v>
      </c>
      <c r="E18" s="22">
        <v>0.57291666666666663</v>
      </c>
      <c r="F18" t="s">
        <v>249</v>
      </c>
      <c r="G18" t="s">
        <v>250</v>
      </c>
      <c r="H18">
        <v>1657649.46</v>
      </c>
      <c r="I18">
        <v>5304030.2429999998</v>
      </c>
      <c r="J18">
        <v>12.022</v>
      </c>
      <c r="K18" s="24" t="s">
        <v>11</v>
      </c>
      <c r="L18" t="s">
        <v>12</v>
      </c>
      <c r="M18">
        <f t="shared" si="0"/>
        <v>0.37700000000000067</v>
      </c>
      <c r="N18">
        <v>1.91</v>
      </c>
      <c r="O18">
        <f t="shared" si="1"/>
        <v>0.22700000000000076</v>
      </c>
    </row>
    <row r="19" spans="1:15" x14ac:dyDescent="0.3">
      <c r="A19" t="s">
        <v>251</v>
      </c>
      <c r="B19" t="s">
        <v>202</v>
      </c>
      <c r="C19" t="s">
        <v>658</v>
      </c>
      <c r="D19" s="23">
        <v>42768</v>
      </c>
      <c r="E19" s="22">
        <v>0.57361111111111118</v>
      </c>
      <c r="F19" t="s">
        <v>252</v>
      </c>
      <c r="G19" t="s">
        <v>253</v>
      </c>
      <c r="H19">
        <v>1657649.798</v>
      </c>
      <c r="I19">
        <v>5304030.6950000003</v>
      </c>
      <c r="J19">
        <v>11.945</v>
      </c>
      <c r="K19" s="24" t="s">
        <v>11</v>
      </c>
      <c r="L19" t="s">
        <v>12</v>
      </c>
      <c r="M19">
        <f t="shared" si="0"/>
        <v>0.30000000000000071</v>
      </c>
      <c r="N19">
        <v>1.91</v>
      </c>
      <c r="O19">
        <f t="shared" si="1"/>
        <v>0.1500000000000008</v>
      </c>
    </row>
    <row r="20" spans="1:15" x14ac:dyDescent="0.3">
      <c r="A20" t="s">
        <v>254</v>
      </c>
      <c r="B20" t="s">
        <v>202</v>
      </c>
      <c r="C20" t="s">
        <v>658</v>
      </c>
      <c r="D20" s="23">
        <v>42768</v>
      </c>
      <c r="E20" s="22">
        <v>0.57361111111111118</v>
      </c>
      <c r="F20" t="s">
        <v>255</v>
      </c>
      <c r="G20" t="s">
        <v>256</v>
      </c>
      <c r="H20">
        <v>1657649.585</v>
      </c>
      <c r="I20">
        <v>5304031.99</v>
      </c>
      <c r="J20">
        <v>12.22</v>
      </c>
      <c r="K20" s="24" t="s">
        <v>11</v>
      </c>
      <c r="L20" t="s">
        <v>12</v>
      </c>
      <c r="M20">
        <f t="shared" si="0"/>
        <v>0.57500000000000107</v>
      </c>
      <c r="N20">
        <v>1.91</v>
      </c>
      <c r="O20">
        <f t="shared" si="1"/>
        <v>0.42500000000000115</v>
      </c>
    </row>
    <row r="21" spans="1:15" x14ac:dyDescent="0.3">
      <c r="A21" t="s">
        <v>257</v>
      </c>
      <c r="B21" t="s">
        <v>202</v>
      </c>
      <c r="C21" t="s">
        <v>658</v>
      </c>
      <c r="D21" s="23">
        <v>42768</v>
      </c>
      <c r="E21" s="22">
        <v>0.57430555555555551</v>
      </c>
      <c r="F21" t="s">
        <v>258</v>
      </c>
      <c r="G21" t="s">
        <v>259</v>
      </c>
      <c r="H21">
        <v>1657648.72</v>
      </c>
      <c r="I21">
        <v>5304032.8949999996</v>
      </c>
      <c r="J21">
        <v>12.228999999999999</v>
      </c>
      <c r="K21" s="24" t="s">
        <v>11</v>
      </c>
      <c r="L21" t="s">
        <v>12</v>
      </c>
      <c r="M21">
        <f t="shared" si="0"/>
        <v>0.58399999999999963</v>
      </c>
      <c r="N21">
        <v>1.91</v>
      </c>
      <c r="O21">
        <f t="shared" si="1"/>
        <v>0.43399999999999972</v>
      </c>
    </row>
    <row r="22" spans="1:15" x14ac:dyDescent="0.3">
      <c r="A22" t="s">
        <v>260</v>
      </c>
      <c r="B22" t="s">
        <v>202</v>
      </c>
      <c r="C22" t="s">
        <v>658</v>
      </c>
      <c r="D22" s="23">
        <v>42768</v>
      </c>
      <c r="E22" s="22">
        <v>0.57430555555555551</v>
      </c>
      <c r="F22" t="s">
        <v>261</v>
      </c>
      <c r="G22" t="s">
        <v>262</v>
      </c>
      <c r="H22">
        <v>1657649.9639999999</v>
      </c>
      <c r="I22">
        <v>5304033.1069999998</v>
      </c>
      <c r="J22">
        <v>12.129</v>
      </c>
      <c r="K22" s="24" t="s">
        <v>11</v>
      </c>
      <c r="L22" t="s">
        <v>12</v>
      </c>
      <c r="M22">
        <f t="shared" si="0"/>
        <v>0.48399999999999999</v>
      </c>
      <c r="N22">
        <v>1.91</v>
      </c>
      <c r="O22">
        <f t="shared" si="1"/>
        <v>0.33400000000000007</v>
      </c>
    </row>
    <row r="23" spans="1:15" x14ac:dyDescent="0.3">
      <c r="A23" t="s">
        <v>263</v>
      </c>
      <c r="B23" t="s">
        <v>202</v>
      </c>
      <c r="C23" t="s">
        <v>658</v>
      </c>
      <c r="D23" s="23">
        <v>42768</v>
      </c>
      <c r="E23" s="22">
        <v>0.57500000000000007</v>
      </c>
      <c r="F23" t="s">
        <v>264</v>
      </c>
      <c r="G23" t="s">
        <v>265</v>
      </c>
      <c r="H23">
        <v>1657648.74</v>
      </c>
      <c r="I23">
        <v>5304029.8590000002</v>
      </c>
      <c r="J23">
        <v>12.092000000000001</v>
      </c>
      <c r="K23" s="24" t="s">
        <v>11</v>
      </c>
      <c r="L23" t="s">
        <v>12</v>
      </c>
      <c r="M23">
        <f t="shared" si="0"/>
        <v>0.44700000000000095</v>
      </c>
      <c r="N23">
        <v>1.91</v>
      </c>
      <c r="O23">
        <f t="shared" si="1"/>
        <v>0.29700000000000104</v>
      </c>
    </row>
    <row r="24" spans="1:15" x14ac:dyDescent="0.3">
      <c r="A24" t="s">
        <v>266</v>
      </c>
      <c r="B24" t="s">
        <v>202</v>
      </c>
      <c r="C24" t="s">
        <v>658</v>
      </c>
      <c r="D24" s="23">
        <v>42768</v>
      </c>
      <c r="E24" s="22">
        <v>0.58124999999999993</v>
      </c>
      <c r="F24" t="s">
        <v>267</v>
      </c>
      <c r="G24" t="s">
        <v>268</v>
      </c>
      <c r="H24">
        <v>1657841.1810000001</v>
      </c>
      <c r="I24">
        <v>5304077.58</v>
      </c>
      <c r="J24">
        <v>11.529</v>
      </c>
      <c r="K24" s="24" t="s">
        <v>205</v>
      </c>
      <c r="N24">
        <v>1.81</v>
      </c>
    </row>
    <row r="25" spans="1:15" x14ac:dyDescent="0.3">
      <c r="A25" t="s">
        <v>269</v>
      </c>
      <c r="B25" t="s">
        <v>202</v>
      </c>
      <c r="C25" t="s">
        <v>658</v>
      </c>
      <c r="D25" s="23">
        <v>42768</v>
      </c>
      <c r="E25" s="22">
        <v>0.58194444444444449</v>
      </c>
      <c r="F25" t="s">
        <v>270</v>
      </c>
      <c r="G25" t="s">
        <v>271</v>
      </c>
      <c r="H25">
        <v>1657839.737</v>
      </c>
      <c r="I25">
        <v>5304077.5020000003</v>
      </c>
      <c r="J25">
        <v>12.023999999999999</v>
      </c>
      <c r="K25" s="24" t="s">
        <v>11</v>
      </c>
      <c r="L25" t="s">
        <v>12</v>
      </c>
      <c r="M25">
        <f>J25-J$24</f>
        <v>0.49499999999999922</v>
      </c>
      <c r="N25">
        <v>1.81</v>
      </c>
      <c r="O25">
        <f t="shared" si="1"/>
        <v>0.24499999999999922</v>
      </c>
    </row>
    <row r="26" spans="1:15" x14ac:dyDescent="0.3">
      <c r="A26" t="s">
        <v>272</v>
      </c>
      <c r="B26" t="s">
        <v>202</v>
      </c>
      <c r="C26" t="s">
        <v>658</v>
      </c>
      <c r="D26" s="23">
        <v>42768</v>
      </c>
      <c r="E26" s="22">
        <v>0.58194444444444449</v>
      </c>
      <c r="F26" t="s">
        <v>273</v>
      </c>
      <c r="G26" t="s">
        <v>274</v>
      </c>
      <c r="H26">
        <v>1657840.7919999999</v>
      </c>
      <c r="I26">
        <v>5304077.7860000003</v>
      </c>
      <c r="J26">
        <v>11.914</v>
      </c>
      <c r="K26" s="24" t="s">
        <v>11</v>
      </c>
      <c r="L26" t="s">
        <v>12</v>
      </c>
      <c r="M26">
        <f t="shared" ref="M26:M43" si="2">J26-J$24</f>
        <v>0.38499999999999979</v>
      </c>
      <c r="N26">
        <v>1.81</v>
      </c>
      <c r="O26">
        <f t="shared" si="1"/>
        <v>0.13499999999999979</v>
      </c>
    </row>
    <row r="27" spans="1:15" x14ac:dyDescent="0.3">
      <c r="A27" t="s">
        <v>275</v>
      </c>
      <c r="B27" t="s">
        <v>202</v>
      </c>
      <c r="C27" t="s">
        <v>658</v>
      </c>
      <c r="D27" s="23">
        <v>42768</v>
      </c>
      <c r="E27" s="22">
        <v>0.58263888888888882</v>
      </c>
      <c r="F27" t="s">
        <v>276</v>
      </c>
      <c r="G27" t="s">
        <v>277</v>
      </c>
      <c r="H27">
        <v>1657841.723</v>
      </c>
      <c r="I27">
        <v>5304078.1260000002</v>
      </c>
      <c r="J27">
        <v>11.936999999999999</v>
      </c>
      <c r="K27" s="24" t="s">
        <v>11</v>
      </c>
      <c r="L27" t="s">
        <v>12</v>
      </c>
      <c r="M27">
        <f t="shared" si="2"/>
        <v>0.40799999999999947</v>
      </c>
      <c r="N27">
        <v>1.81</v>
      </c>
      <c r="O27">
        <f t="shared" si="1"/>
        <v>0.15799999999999947</v>
      </c>
    </row>
    <row r="28" spans="1:15" x14ac:dyDescent="0.3">
      <c r="A28" t="s">
        <v>278</v>
      </c>
      <c r="B28" t="s">
        <v>202</v>
      </c>
      <c r="C28" t="s">
        <v>658</v>
      </c>
      <c r="D28" s="23">
        <v>42768</v>
      </c>
      <c r="E28" s="22">
        <v>0.58333333333333337</v>
      </c>
      <c r="F28" t="s">
        <v>279</v>
      </c>
      <c r="G28" t="s">
        <v>280</v>
      </c>
      <c r="H28">
        <v>1657841.8119999999</v>
      </c>
      <c r="I28">
        <v>5304078.4749999996</v>
      </c>
      <c r="J28">
        <v>11.903</v>
      </c>
      <c r="K28" s="24" t="s">
        <v>11</v>
      </c>
      <c r="L28" t="s">
        <v>12</v>
      </c>
      <c r="M28">
        <f t="shared" si="2"/>
        <v>0.37400000000000055</v>
      </c>
      <c r="N28">
        <v>1.81</v>
      </c>
      <c r="O28">
        <f t="shared" si="1"/>
        <v>0.12400000000000055</v>
      </c>
    </row>
    <row r="29" spans="1:15" x14ac:dyDescent="0.3">
      <c r="A29" t="s">
        <v>281</v>
      </c>
      <c r="B29" t="s">
        <v>202</v>
      </c>
      <c r="C29" t="s">
        <v>658</v>
      </c>
      <c r="D29" s="23">
        <v>42768</v>
      </c>
      <c r="E29" s="22">
        <v>0.58402777777777781</v>
      </c>
      <c r="F29" t="s">
        <v>282</v>
      </c>
      <c r="G29" t="s">
        <v>283</v>
      </c>
      <c r="H29">
        <v>1657842.666</v>
      </c>
      <c r="I29">
        <v>5304078.5750000002</v>
      </c>
      <c r="J29">
        <v>11.784000000000001</v>
      </c>
      <c r="K29" s="24" t="s">
        <v>11</v>
      </c>
      <c r="L29" t="s">
        <v>12</v>
      </c>
      <c r="M29">
        <f t="shared" si="2"/>
        <v>0.25500000000000078</v>
      </c>
      <c r="N29">
        <v>1.81</v>
      </c>
      <c r="O29">
        <f t="shared" si="1"/>
        <v>5.0000000000007816E-3</v>
      </c>
    </row>
    <row r="30" spans="1:15" x14ac:dyDescent="0.3">
      <c r="A30" t="s">
        <v>284</v>
      </c>
      <c r="B30" t="s">
        <v>202</v>
      </c>
      <c r="C30" t="s">
        <v>658</v>
      </c>
      <c r="D30" s="23">
        <v>42768</v>
      </c>
      <c r="E30" s="22">
        <v>0.58402777777777781</v>
      </c>
      <c r="F30" t="s">
        <v>285</v>
      </c>
      <c r="G30" t="s">
        <v>286</v>
      </c>
      <c r="H30">
        <v>1657844.4410000001</v>
      </c>
      <c r="I30">
        <v>5304080.1960000005</v>
      </c>
      <c r="J30">
        <v>12.06</v>
      </c>
      <c r="K30" s="24" t="s">
        <v>11</v>
      </c>
      <c r="L30" t="s">
        <v>12</v>
      </c>
      <c r="M30">
        <f t="shared" si="2"/>
        <v>0.53100000000000058</v>
      </c>
      <c r="N30">
        <v>1.81</v>
      </c>
      <c r="O30">
        <f t="shared" si="1"/>
        <v>0.28100000000000058</v>
      </c>
    </row>
    <row r="31" spans="1:15" x14ac:dyDescent="0.3">
      <c r="A31" t="s">
        <v>287</v>
      </c>
      <c r="B31" t="s">
        <v>202</v>
      </c>
      <c r="C31" t="s">
        <v>658</v>
      </c>
      <c r="D31" s="23">
        <v>42768</v>
      </c>
      <c r="E31" s="22">
        <v>0.58472222222222225</v>
      </c>
      <c r="F31" t="s">
        <v>288</v>
      </c>
      <c r="G31" t="s">
        <v>289</v>
      </c>
      <c r="H31">
        <v>1657847.03</v>
      </c>
      <c r="I31">
        <v>5304082.8660000004</v>
      </c>
      <c r="J31">
        <v>11.936999999999999</v>
      </c>
      <c r="K31" s="24" t="s">
        <v>11</v>
      </c>
      <c r="L31" t="s">
        <v>12</v>
      </c>
      <c r="M31">
        <f t="shared" si="2"/>
        <v>0.40799999999999947</v>
      </c>
      <c r="N31">
        <v>1.81</v>
      </c>
      <c r="O31">
        <f t="shared" si="1"/>
        <v>0.15799999999999947</v>
      </c>
    </row>
    <row r="32" spans="1:15" x14ac:dyDescent="0.3">
      <c r="A32" t="s">
        <v>290</v>
      </c>
      <c r="B32" t="s">
        <v>202</v>
      </c>
      <c r="C32" t="s">
        <v>658</v>
      </c>
      <c r="D32" s="23">
        <v>42768</v>
      </c>
      <c r="E32" s="22">
        <v>0.5854166666666667</v>
      </c>
      <c r="F32" t="s">
        <v>291</v>
      </c>
      <c r="G32" t="s">
        <v>292</v>
      </c>
      <c r="H32">
        <v>1657848.8559999999</v>
      </c>
      <c r="I32">
        <v>5304082.7070000004</v>
      </c>
      <c r="J32">
        <v>12.029</v>
      </c>
      <c r="K32" s="24" t="s">
        <v>11</v>
      </c>
      <c r="L32" t="s">
        <v>12</v>
      </c>
      <c r="M32">
        <f t="shared" si="2"/>
        <v>0.5</v>
      </c>
      <c r="N32">
        <v>1.81</v>
      </c>
      <c r="O32">
        <f t="shared" si="1"/>
        <v>0.25</v>
      </c>
    </row>
    <row r="33" spans="1:15" x14ac:dyDescent="0.3">
      <c r="A33" t="s">
        <v>293</v>
      </c>
      <c r="B33" t="s">
        <v>202</v>
      </c>
      <c r="C33" t="s">
        <v>658</v>
      </c>
      <c r="D33" s="23">
        <v>42768</v>
      </c>
      <c r="E33" s="22">
        <v>0.58611111111111114</v>
      </c>
      <c r="F33" t="s">
        <v>294</v>
      </c>
      <c r="G33" t="s">
        <v>295</v>
      </c>
      <c r="H33">
        <v>1657850.746</v>
      </c>
      <c r="I33">
        <v>5304087.1100000003</v>
      </c>
      <c r="J33">
        <v>11.989000000000001</v>
      </c>
      <c r="K33" s="24" t="s">
        <v>11</v>
      </c>
      <c r="L33" t="s">
        <v>12</v>
      </c>
      <c r="M33">
        <f t="shared" si="2"/>
        <v>0.46000000000000085</v>
      </c>
      <c r="N33">
        <v>1.81</v>
      </c>
      <c r="O33">
        <f t="shared" si="1"/>
        <v>0.21000000000000085</v>
      </c>
    </row>
    <row r="34" spans="1:15" x14ac:dyDescent="0.3">
      <c r="A34" t="s">
        <v>296</v>
      </c>
      <c r="B34" t="s">
        <v>202</v>
      </c>
      <c r="C34" t="s">
        <v>658</v>
      </c>
      <c r="D34" s="23">
        <v>42768</v>
      </c>
      <c r="E34" s="22">
        <v>0.58611111111111114</v>
      </c>
      <c r="F34" t="s">
        <v>297</v>
      </c>
      <c r="G34" t="s">
        <v>298</v>
      </c>
      <c r="H34">
        <v>1657853.165</v>
      </c>
      <c r="I34">
        <v>5304085.9479999999</v>
      </c>
      <c r="J34">
        <v>12.098000000000001</v>
      </c>
      <c r="K34" s="24" t="s">
        <v>11</v>
      </c>
      <c r="L34" t="s">
        <v>12</v>
      </c>
      <c r="M34">
        <f t="shared" si="2"/>
        <v>0.56900000000000084</v>
      </c>
      <c r="N34">
        <v>1.81</v>
      </c>
      <c r="O34">
        <f t="shared" si="1"/>
        <v>0.31900000000000084</v>
      </c>
    </row>
    <row r="35" spans="1:15" x14ac:dyDescent="0.3">
      <c r="A35" t="s">
        <v>299</v>
      </c>
      <c r="B35" t="s">
        <v>202</v>
      </c>
      <c r="C35" t="s">
        <v>658</v>
      </c>
      <c r="D35" s="23">
        <v>42768</v>
      </c>
      <c r="E35" s="22">
        <v>0.58680555555555558</v>
      </c>
      <c r="F35" t="s">
        <v>300</v>
      </c>
      <c r="G35" t="s">
        <v>301</v>
      </c>
      <c r="H35">
        <v>1657852.524</v>
      </c>
      <c r="I35">
        <v>5304084.9460000005</v>
      </c>
      <c r="J35">
        <v>12.087999999999999</v>
      </c>
      <c r="K35" s="24" t="s">
        <v>11</v>
      </c>
      <c r="L35" t="s">
        <v>12</v>
      </c>
      <c r="M35">
        <f t="shared" si="2"/>
        <v>0.55899999999999928</v>
      </c>
      <c r="N35">
        <v>1.81</v>
      </c>
      <c r="O35">
        <f t="shared" si="1"/>
        <v>0.30899999999999928</v>
      </c>
    </row>
    <row r="36" spans="1:15" x14ac:dyDescent="0.3">
      <c r="A36" t="s">
        <v>302</v>
      </c>
      <c r="B36" t="s">
        <v>202</v>
      </c>
      <c r="C36" t="s">
        <v>658</v>
      </c>
      <c r="D36" s="23">
        <v>42768</v>
      </c>
      <c r="E36" s="22">
        <v>0.58750000000000002</v>
      </c>
      <c r="F36" t="s">
        <v>303</v>
      </c>
      <c r="G36" t="s">
        <v>304</v>
      </c>
      <c r="H36">
        <v>1657856.551</v>
      </c>
      <c r="I36">
        <v>5304088.2209999999</v>
      </c>
      <c r="J36">
        <v>12.198</v>
      </c>
      <c r="K36" s="24" t="s">
        <v>11</v>
      </c>
      <c r="L36" t="s">
        <v>12</v>
      </c>
      <c r="M36">
        <f t="shared" si="2"/>
        <v>0.66900000000000048</v>
      </c>
      <c r="N36">
        <v>1.81</v>
      </c>
      <c r="O36">
        <f t="shared" si="1"/>
        <v>0.41900000000000048</v>
      </c>
    </row>
    <row r="37" spans="1:15" x14ac:dyDescent="0.3">
      <c r="A37" t="s">
        <v>305</v>
      </c>
      <c r="B37" t="s">
        <v>202</v>
      </c>
      <c r="C37" t="s">
        <v>658</v>
      </c>
      <c r="D37" s="23">
        <v>42768</v>
      </c>
      <c r="E37" s="22">
        <v>0.58819444444444446</v>
      </c>
      <c r="F37" t="s">
        <v>306</v>
      </c>
      <c r="G37" t="s">
        <v>307</v>
      </c>
      <c r="H37">
        <v>1657857.3859999999</v>
      </c>
      <c r="I37">
        <v>5304088.6370000001</v>
      </c>
      <c r="J37">
        <v>12.129</v>
      </c>
      <c r="K37" s="24" t="s">
        <v>11</v>
      </c>
      <c r="L37" t="s">
        <v>12</v>
      </c>
      <c r="M37">
        <f t="shared" si="2"/>
        <v>0.59999999999999964</v>
      </c>
      <c r="N37">
        <v>1.81</v>
      </c>
      <c r="O37">
        <f t="shared" si="1"/>
        <v>0.34999999999999964</v>
      </c>
    </row>
    <row r="38" spans="1:15" x14ac:dyDescent="0.3">
      <c r="A38" t="s">
        <v>308</v>
      </c>
      <c r="B38" t="s">
        <v>202</v>
      </c>
      <c r="C38" t="s">
        <v>658</v>
      </c>
      <c r="D38" s="23">
        <v>42768</v>
      </c>
      <c r="E38" s="22">
        <v>0.58819444444444446</v>
      </c>
      <c r="F38" t="s">
        <v>309</v>
      </c>
      <c r="G38" t="s">
        <v>310</v>
      </c>
      <c r="H38">
        <v>1657857.129</v>
      </c>
      <c r="I38">
        <v>5304089.43</v>
      </c>
      <c r="J38">
        <v>12.132</v>
      </c>
      <c r="K38" s="24" t="s">
        <v>11</v>
      </c>
      <c r="L38" t="s">
        <v>12</v>
      </c>
      <c r="M38">
        <f t="shared" si="2"/>
        <v>0.60299999999999976</v>
      </c>
      <c r="N38">
        <v>1.81</v>
      </c>
      <c r="O38">
        <f t="shared" si="1"/>
        <v>0.35299999999999976</v>
      </c>
    </row>
    <row r="39" spans="1:15" x14ac:dyDescent="0.3">
      <c r="A39" t="s">
        <v>311</v>
      </c>
      <c r="B39" t="s">
        <v>202</v>
      </c>
      <c r="C39" t="s">
        <v>658</v>
      </c>
      <c r="D39" s="23">
        <v>42768</v>
      </c>
      <c r="E39" s="22">
        <v>0.58888888888888891</v>
      </c>
      <c r="F39" t="s">
        <v>312</v>
      </c>
      <c r="G39" t="s">
        <v>313</v>
      </c>
      <c r="H39">
        <v>1657855.987</v>
      </c>
      <c r="I39">
        <v>5304090.7130000005</v>
      </c>
      <c r="J39">
        <v>11.999000000000001</v>
      </c>
      <c r="K39" s="24" t="s">
        <v>11</v>
      </c>
      <c r="L39" t="s">
        <v>12</v>
      </c>
      <c r="M39">
        <f t="shared" si="2"/>
        <v>0.47000000000000064</v>
      </c>
      <c r="N39">
        <v>1.81</v>
      </c>
      <c r="O39">
        <f t="shared" si="1"/>
        <v>0.22000000000000064</v>
      </c>
    </row>
    <row r="40" spans="1:15" x14ac:dyDescent="0.3">
      <c r="A40" t="s">
        <v>314</v>
      </c>
      <c r="B40" t="s">
        <v>202</v>
      </c>
      <c r="C40" t="s">
        <v>658</v>
      </c>
      <c r="D40" s="23">
        <v>42768</v>
      </c>
      <c r="E40" s="22">
        <v>0.58958333333333335</v>
      </c>
      <c r="F40" t="s">
        <v>315</v>
      </c>
      <c r="G40" t="s">
        <v>316</v>
      </c>
      <c r="H40">
        <v>1657856.6510000001</v>
      </c>
      <c r="I40">
        <v>5304093.5959999999</v>
      </c>
      <c r="J40">
        <v>11.952</v>
      </c>
      <c r="K40" s="24" t="s">
        <v>11</v>
      </c>
      <c r="L40" t="s">
        <v>12</v>
      </c>
      <c r="M40">
        <f t="shared" si="2"/>
        <v>0.42300000000000004</v>
      </c>
      <c r="N40">
        <v>1.81</v>
      </c>
      <c r="O40">
        <f t="shared" si="1"/>
        <v>0.17300000000000004</v>
      </c>
    </row>
    <row r="41" spans="1:15" x14ac:dyDescent="0.3">
      <c r="A41" t="s">
        <v>317</v>
      </c>
      <c r="B41" t="s">
        <v>202</v>
      </c>
      <c r="C41" t="s">
        <v>658</v>
      </c>
      <c r="D41" s="23">
        <v>42768</v>
      </c>
      <c r="E41" s="22">
        <v>0.59027777777777779</v>
      </c>
      <c r="F41" t="s">
        <v>318</v>
      </c>
      <c r="G41" t="s">
        <v>319</v>
      </c>
      <c r="H41">
        <v>1657861.4709999999</v>
      </c>
      <c r="I41">
        <v>5304093.6040000003</v>
      </c>
      <c r="J41">
        <v>12.025</v>
      </c>
      <c r="K41" s="24" t="s">
        <v>11</v>
      </c>
      <c r="L41" t="s">
        <v>12</v>
      </c>
      <c r="M41">
        <f t="shared" si="2"/>
        <v>0.49600000000000044</v>
      </c>
      <c r="N41">
        <v>1.81</v>
      </c>
      <c r="O41">
        <f t="shared" si="1"/>
        <v>0.24600000000000044</v>
      </c>
    </row>
    <row r="42" spans="1:15" x14ac:dyDescent="0.3">
      <c r="A42" t="s">
        <v>320</v>
      </c>
      <c r="B42" t="s">
        <v>202</v>
      </c>
      <c r="C42" t="s">
        <v>658</v>
      </c>
      <c r="D42" s="23">
        <v>42768</v>
      </c>
      <c r="E42" s="22">
        <v>0.59027777777777779</v>
      </c>
      <c r="F42" t="s">
        <v>321</v>
      </c>
      <c r="G42" t="s">
        <v>322</v>
      </c>
      <c r="H42">
        <v>1657859.956</v>
      </c>
      <c r="I42">
        <v>5304103.7649999997</v>
      </c>
      <c r="J42">
        <v>11.891</v>
      </c>
      <c r="K42" s="24" t="s">
        <v>11</v>
      </c>
      <c r="L42" t="s">
        <v>12</v>
      </c>
      <c r="M42">
        <f t="shared" si="2"/>
        <v>0.3620000000000001</v>
      </c>
      <c r="N42">
        <v>1.81</v>
      </c>
      <c r="O42">
        <f t="shared" si="1"/>
        <v>0.1120000000000001</v>
      </c>
    </row>
    <row r="43" spans="1:15" x14ac:dyDescent="0.3">
      <c r="A43" t="s">
        <v>323</v>
      </c>
      <c r="B43" t="s">
        <v>202</v>
      </c>
      <c r="C43" t="s">
        <v>658</v>
      </c>
      <c r="D43" s="23">
        <v>42768</v>
      </c>
      <c r="E43" s="22">
        <v>0.59097222222222223</v>
      </c>
      <c r="F43" t="s">
        <v>324</v>
      </c>
      <c r="G43" t="s">
        <v>325</v>
      </c>
      <c r="H43">
        <v>1657860.801</v>
      </c>
      <c r="I43">
        <v>5304102.5080000004</v>
      </c>
      <c r="J43">
        <v>11.914999999999999</v>
      </c>
      <c r="K43" s="24" t="s">
        <v>11</v>
      </c>
      <c r="L43" t="s">
        <v>12</v>
      </c>
      <c r="M43">
        <f t="shared" si="2"/>
        <v>0.38599999999999923</v>
      </c>
      <c r="N43">
        <v>1.81</v>
      </c>
      <c r="O43">
        <f t="shared" si="1"/>
        <v>0.13599999999999923</v>
      </c>
    </row>
    <row r="44" spans="1:15" x14ac:dyDescent="0.3">
      <c r="A44" t="s">
        <v>657</v>
      </c>
      <c r="B44" t="s">
        <v>202</v>
      </c>
      <c r="C44" t="s">
        <v>659</v>
      </c>
      <c r="D44" s="23">
        <v>42774</v>
      </c>
      <c r="E44" s="22">
        <v>0.83333333333333337</v>
      </c>
      <c r="F44" t="s">
        <v>328</v>
      </c>
      <c r="G44" t="s">
        <v>329</v>
      </c>
      <c r="H44">
        <v>1657796.959</v>
      </c>
      <c r="I44">
        <v>5304095.4740000004</v>
      </c>
      <c r="J44">
        <v>11.11</v>
      </c>
      <c r="K44" t="s">
        <v>205</v>
      </c>
    </row>
    <row r="45" spans="1:15" x14ac:dyDescent="0.3">
      <c r="A45" t="s">
        <v>332</v>
      </c>
      <c r="B45" t="s">
        <v>202</v>
      </c>
      <c r="C45" t="s">
        <v>659</v>
      </c>
      <c r="D45" s="23">
        <v>42774</v>
      </c>
      <c r="E45" s="22">
        <v>0.8340277777777777</v>
      </c>
      <c r="F45" t="s">
        <v>333</v>
      </c>
      <c r="G45" t="s">
        <v>334</v>
      </c>
      <c r="H45">
        <v>1657795.3049999999</v>
      </c>
      <c r="I45">
        <v>5304094.5559999999</v>
      </c>
      <c r="J45">
        <v>12.298</v>
      </c>
      <c r="K45" s="24" t="s">
        <v>13</v>
      </c>
      <c r="L45" t="s">
        <v>12</v>
      </c>
      <c r="M45">
        <f>J45-J$44</f>
        <v>1.1880000000000006</v>
      </c>
      <c r="N45">
        <v>1.32</v>
      </c>
      <c r="O45">
        <f t="shared" si="1"/>
        <v>0.44800000000000084</v>
      </c>
    </row>
    <row r="46" spans="1:15" x14ac:dyDescent="0.3">
      <c r="A46" t="s">
        <v>335</v>
      </c>
      <c r="B46" t="s">
        <v>202</v>
      </c>
      <c r="C46" t="s">
        <v>659</v>
      </c>
      <c r="D46" s="23">
        <v>42774</v>
      </c>
      <c r="E46" s="22">
        <v>0.8340277777777777</v>
      </c>
      <c r="F46" t="s">
        <v>336</v>
      </c>
      <c r="G46" t="s">
        <v>337</v>
      </c>
      <c r="H46">
        <v>1657796.2849999999</v>
      </c>
      <c r="I46">
        <v>5304092.5410000002</v>
      </c>
      <c r="J46">
        <v>12.194000000000001</v>
      </c>
      <c r="K46" s="24" t="s">
        <v>13</v>
      </c>
      <c r="L46" t="s">
        <v>12</v>
      </c>
      <c r="M46">
        <f t="shared" ref="M46:M76" si="3">J46-J$44</f>
        <v>1.0840000000000014</v>
      </c>
      <c r="N46">
        <v>1.32</v>
      </c>
      <c r="O46">
        <f t="shared" si="1"/>
        <v>0.34400000000000164</v>
      </c>
    </row>
    <row r="47" spans="1:15" x14ac:dyDescent="0.3">
      <c r="A47" t="s">
        <v>338</v>
      </c>
      <c r="B47" t="s">
        <v>202</v>
      </c>
      <c r="C47" t="s">
        <v>659</v>
      </c>
      <c r="D47" s="23">
        <v>42774</v>
      </c>
      <c r="E47" s="22">
        <v>0.83472222222222225</v>
      </c>
      <c r="F47" t="s">
        <v>339</v>
      </c>
      <c r="G47" t="s">
        <v>340</v>
      </c>
      <c r="H47">
        <v>1657798.1939999999</v>
      </c>
      <c r="I47">
        <v>5304092.1140000001</v>
      </c>
      <c r="J47">
        <v>12.035</v>
      </c>
      <c r="K47" s="24" t="s">
        <v>13</v>
      </c>
      <c r="L47" t="s">
        <v>12</v>
      </c>
      <c r="M47">
        <f t="shared" si="3"/>
        <v>0.92500000000000071</v>
      </c>
      <c r="N47">
        <v>1.32</v>
      </c>
      <c r="O47">
        <f t="shared" si="1"/>
        <v>0.18500000000000094</v>
      </c>
    </row>
    <row r="48" spans="1:15" x14ac:dyDescent="0.3">
      <c r="A48" t="s">
        <v>341</v>
      </c>
      <c r="B48" t="s">
        <v>202</v>
      </c>
      <c r="C48" t="s">
        <v>659</v>
      </c>
      <c r="D48" s="23">
        <v>42774</v>
      </c>
      <c r="E48" s="22">
        <v>0.83472222222222225</v>
      </c>
      <c r="F48" t="s">
        <v>342</v>
      </c>
      <c r="G48" t="s">
        <v>343</v>
      </c>
      <c r="H48">
        <v>1657800.977</v>
      </c>
      <c r="I48">
        <v>5304092.4239999996</v>
      </c>
      <c r="J48">
        <v>12.291</v>
      </c>
      <c r="K48" s="24" t="s">
        <v>13</v>
      </c>
      <c r="L48" t="s">
        <v>12</v>
      </c>
      <c r="M48">
        <f t="shared" si="3"/>
        <v>1.1810000000000009</v>
      </c>
      <c r="N48">
        <v>1.32</v>
      </c>
      <c r="O48">
        <f t="shared" si="1"/>
        <v>0.44100000000000117</v>
      </c>
    </row>
    <row r="49" spans="1:15" x14ac:dyDescent="0.3">
      <c r="A49" t="s">
        <v>344</v>
      </c>
      <c r="B49" t="s">
        <v>202</v>
      </c>
      <c r="C49" t="s">
        <v>659</v>
      </c>
      <c r="D49" s="23">
        <v>42774</v>
      </c>
      <c r="E49" s="22">
        <v>0.83472222222222225</v>
      </c>
      <c r="F49" t="s">
        <v>345</v>
      </c>
      <c r="G49" t="s">
        <v>346</v>
      </c>
      <c r="H49">
        <v>1657795.044</v>
      </c>
      <c r="I49">
        <v>5304086.6739999996</v>
      </c>
      <c r="J49">
        <v>12.254</v>
      </c>
      <c r="K49" s="24" t="s">
        <v>13</v>
      </c>
      <c r="L49" t="s">
        <v>12</v>
      </c>
      <c r="M49">
        <f t="shared" si="3"/>
        <v>1.1440000000000001</v>
      </c>
      <c r="N49">
        <v>1.32</v>
      </c>
      <c r="O49">
        <f t="shared" si="1"/>
        <v>0.40400000000000036</v>
      </c>
    </row>
    <row r="50" spans="1:15" x14ac:dyDescent="0.3">
      <c r="A50" t="s">
        <v>347</v>
      </c>
      <c r="B50" t="s">
        <v>202</v>
      </c>
      <c r="C50" t="s">
        <v>659</v>
      </c>
      <c r="D50" s="23">
        <v>42774</v>
      </c>
      <c r="E50" s="22">
        <v>0.8354166666666667</v>
      </c>
      <c r="F50" t="s">
        <v>348</v>
      </c>
      <c r="G50" t="s">
        <v>349</v>
      </c>
      <c r="H50">
        <v>1657795.4350000001</v>
      </c>
      <c r="I50">
        <v>5304086.648</v>
      </c>
      <c r="J50">
        <v>12.243</v>
      </c>
      <c r="K50" s="24" t="s">
        <v>13</v>
      </c>
      <c r="L50" t="s">
        <v>12</v>
      </c>
      <c r="M50">
        <f t="shared" si="3"/>
        <v>1.1330000000000009</v>
      </c>
      <c r="N50">
        <v>1.32</v>
      </c>
      <c r="O50">
        <f t="shared" si="1"/>
        <v>0.39300000000000113</v>
      </c>
    </row>
    <row r="51" spans="1:15" x14ac:dyDescent="0.3">
      <c r="A51" t="s">
        <v>350</v>
      </c>
      <c r="B51" t="s">
        <v>202</v>
      </c>
      <c r="C51" t="s">
        <v>659</v>
      </c>
      <c r="D51" s="23">
        <v>42774</v>
      </c>
      <c r="E51" s="22">
        <v>0.8354166666666667</v>
      </c>
      <c r="F51" t="s">
        <v>348</v>
      </c>
      <c r="G51" t="s">
        <v>351</v>
      </c>
      <c r="H51">
        <v>1657794.5160000001</v>
      </c>
      <c r="I51">
        <v>5304086.6550000003</v>
      </c>
      <c r="J51">
        <v>12.305999999999999</v>
      </c>
      <c r="K51" s="24" t="s">
        <v>13</v>
      </c>
      <c r="L51" t="s">
        <v>12</v>
      </c>
      <c r="M51">
        <f t="shared" si="3"/>
        <v>1.1959999999999997</v>
      </c>
      <c r="N51">
        <v>1.32</v>
      </c>
      <c r="O51">
        <f t="shared" si="1"/>
        <v>0.45599999999999996</v>
      </c>
    </row>
    <row r="52" spans="1:15" x14ac:dyDescent="0.3">
      <c r="A52" t="s">
        <v>352</v>
      </c>
      <c r="B52" t="s">
        <v>202</v>
      </c>
      <c r="C52" t="s">
        <v>659</v>
      </c>
      <c r="D52" s="23">
        <v>42774</v>
      </c>
      <c r="E52" s="22">
        <v>0.83611111111111114</v>
      </c>
      <c r="F52" t="s">
        <v>353</v>
      </c>
      <c r="G52" t="s">
        <v>354</v>
      </c>
      <c r="H52">
        <v>1657795.21</v>
      </c>
      <c r="I52">
        <v>5304087.6330000004</v>
      </c>
      <c r="J52">
        <v>12.167</v>
      </c>
      <c r="K52" s="24" t="s">
        <v>13</v>
      </c>
      <c r="L52" t="s">
        <v>12</v>
      </c>
      <c r="M52">
        <f t="shared" si="3"/>
        <v>1.0570000000000004</v>
      </c>
      <c r="N52">
        <v>1.32</v>
      </c>
      <c r="O52">
        <f t="shared" si="1"/>
        <v>0.31700000000000061</v>
      </c>
    </row>
    <row r="53" spans="1:15" x14ac:dyDescent="0.3">
      <c r="A53" t="s">
        <v>355</v>
      </c>
      <c r="B53" t="s">
        <v>202</v>
      </c>
      <c r="C53" t="s">
        <v>659</v>
      </c>
      <c r="D53" s="23">
        <v>42774</v>
      </c>
      <c r="E53" s="22">
        <v>0.83611111111111114</v>
      </c>
      <c r="F53" t="s">
        <v>356</v>
      </c>
      <c r="G53" t="s">
        <v>357</v>
      </c>
      <c r="H53">
        <v>1657794.683</v>
      </c>
      <c r="I53">
        <v>5304088.0619999999</v>
      </c>
      <c r="J53">
        <v>12.24</v>
      </c>
      <c r="K53" s="24" t="s">
        <v>13</v>
      </c>
      <c r="L53" t="s">
        <v>12</v>
      </c>
      <c r="M53">
        <f t="shared" si="3"/>
        <v>1.1300000000000008</v>
      </c>
      <c r="N53">
        <v>1.32</v>
      </c>
      <c r="O53">
        <f t="shared" si="1"/>
        <v>0.39000000000000101</v>
      </c>
    </row>
    <row r="54" spans="1:15" x14ac:dyDescent="0.3">
      <c r="A54" t="s">
        <v>358</v>
      </c>
      <c r="B54" t="s">
        <v>202</v>
      </c>
      <c r="C54" t="s">
        <v>659</v>
      </c>
      <c r="D54" s="23">
        <v>42774</v>
      </c>
      <c r="E54" s="22">
        <v>0.83611111111111114</v>
      </c>
      <c r="F54" t="s">
        <v>359</v>
      </c>
      <c r="G54" t="s">
        <v>360</v>
      </c>
      <c r="H54">
        <v>1657792.825</v>
      </c>
      <c r="I54">
        <v>5304088.2860000003</v>
      </c>
      <c r="J54">
        <v>12.208</v>
      </c>
      <c r="K54" s="24" t="s">
        <v>13</v>
      </c>
      <c r="L54" t="s">
        <v>12</v>
      </c>
      <c r="M54">
        <f t="shared" si="3"/>
        <v>1.0980000000000008</v>
      </c>
      <c r="N54">
        <v>1.32</v>
      </c>
      <c r="O54">
        <f t="shared" si="1"/>
        <v>0.35800000000000098</v>
      </c>
    </row>
    <row r="55" spans="1:15" x14ac:dyDescent="0.3">
      <c r="A55" t="s">
        <v>361</v>
      </c>
      <c r="B55" t="s">
        <v>202</v>
      </c>
      <c r="C55" t="s">
        <v>659</v>
      </c>
      <c r="D55" s="23">
        <v>42774</v>
      </c>
      <c r="E55" s="22">
        <v>0.83680555555555547</v>
      </c>
      <c r="F55" t="s">
        <v>362</v>
      </c>
      <c r="G55" t="s">
        <v>363</v>
      </c>
      <c r="H55">
        <v>1657792.645</v>
      </c>
      <c r="I55">
        <v>5304088.4929999998</v>
      </c>
      <c r="J55">
        <v>12.207000000000001</v>
      </c>
      <c r="K55" s="24" t="s">
        <v>13</v>
      </c>
      <c r="L55" t="s">
        <v>12</v>
      </c>
      <c r="M55">
        <f t="shared" si="3"/>
        <v>1.0970000000000013</v>
      </c>
      <c r="N55">
        <v>1.32</v>
      </c>
      <c r="O55">
        <f t="shared" si="1"/>
        <v>0.35700000000000154</v>
      </c>
    </row>
    <row r="56" spans="1:15" x14ac:dyDescent="0.3">
      <c r="A56" t="s">
        <v>364</v>
      </c>
      <c r="B56" t="s">
        <v>202</v>
      </c>
      <c r="C56" t="s">
        <v>659</v>
      </c>
      <c r="D56" s="23">
        <v>42774</v>
      </c>
      <c r="E56" s="22">
        <v>0.83680555555555547</v>
      </c>
      <c r="F56" t="s">
        <v>365</v>
      </c>
      <c r="G56" t="s">
        <v>366</v>
      </c>
      <c r="H56">
        <v>1657797.4809999999</v>
      </c>
      <c r="I56">
        <v>5304098.62</v>
      </c>
      <c r="J56">
        <v>12.039</v>
      </c>
      <c r="K56" s="24" t="s">
        <v>13</v>
      </c>
      <c r="L56" t="s">
        <v>12</v>
      </c>
      <c r="M56">
        <f t="shared" si="3"/>
        <v>0.92900000000000027</v>
      </c>
      <c r="N56">
        <v>1.32</v>
      </c>
      <c r="O56">
        <f t="shared" si="1"/>
        <v>0.1890000000000005</v>
      </c>
    </row>
    <row r="57" spans="1:15" x14ac:dyDescent="0.3">
      <c r="A57" t="s">
        <v>367</v>
      </c>
      <c r="B57" t="s">
        <v>202</v>
      </c>
      <c r="C57" t="s">
        <v>659</v>
      </c>
      <c r="D57" s="23">
        <v>42774</v>
      </c>
      <c r="E57" s="22">
        <v>0.83680555555555547</v>
      </c>
      <c r="F57" t="s">
        <v>368</v>
      </c>
      <c r="G57" t="s">
        <v>369</v>
      </c>
      <c r="H57">
        <v>1657798.0390000001</v>
      </c>
      <c r="I57">
        <v>5304098.2309999997</v>
      </c>
      <c r="J57">
        <v>12.254</v>
      </c>
      <c r="K57" s="24" t="s">
        <v>13</v>
      </c>
      <c r="L57" t="s">
        <v>12</v>
      </c>
      <c r="M57">
        <f t="shared" si="3"/>
        <v>1.1440000000000001</v>
      </c>
      <c r="N57">
        <v>1.32</v>
      </c>
      <c r="O57">
        <f t="shared" si="1"/>
        <v>0.40400000000000036</v>
      </c>
    </row>
    <row r="58" spans="1:15" x14ac:dyDescent="0.3">
      <c r="A58" t="s">
        <v>370</v>
      </c>
      <c r="B58" t="s">
        <v>202</v>
      </c>
      <c r="C58" t="s">
        <v>659</v>
      </c>
      <c r="D58" s="23">
        <v>42774</v>
      </c>
      <c r="E58" s="22">
        <v>0.83750000000000002</v>
      </c>
      <c r="F58" t="s">
        <v>371</v>
      </c>
      <c r="G58" t="s">
        <v>372</v>
      </c>
      <c r="H58">
        <v>1657798.11</v>
      </c>
      <c r="I58">
        <v>5304097.9510000004</v>
      </c>
      <c r="J58">
        <v>12.218999999999999</v>
      </c>
      <c r="K58" s="24" t="s">
        <v>13</v>
      </c>
      <c r="L58" t="s">
        <v>12</v>
      </c>
      <c r="M58">
        <f t="shared" si="3"/>
        <v>1.109</v>
      </c>
      <c r="N58">
        <v>1.32</v>
      </c>
      <c r="O58">
        <f t="shared" si="1"/>
        <v>0.36900000000000022</v>
      </c>
    </row>
    <row r="59" spans="1:15" x14ac:dyDescent="0.3">
      <c r="A59" t="s">
        <v>373</v>
      </c>
      <c r="B59" t="s">
        <v>202</v>
      </c>
      <c r="C59" t="s">
        <v>659</v>
      </c>
      <c r="D59" s="23">
        <v>42774</v>
      </c>
      <c r="E59" s="22">
        <v>0.84236111111111101</v>
      </c>
      <c r="F59" t="s">
        <v>374</v>
      </c>
      <c r="G59" t="s">
        <v>375</v>
      </c>
      <c r="H59">
        <v>1657837.68</v>
      </c>
      <c r="I59">
        <v>5304115.585</v>
      </c>
      <c r="J59">
        <v>12.317</v>
      </c>
      <c r="K59" s="24" t="s">
        <v>13</v>
      </c>
      <c r="L59" t="s">
        <v>12</v>
      </c>
      <c r="M59">
        <f t="shared" si="3"/>
        <v>1.2070000000000007</v>
      </c>
      <c r="N59">
        <v>1.32</v>
      </c>
      <c r="O59">
        <f t="shared" si="1"/>
        <v>0.46700000000000097</v>
      </c>
    </row>
    <row r="60" spans="1:15" x14ac:dyDescent="0.3">
      <c r="A60" t="s">
        <v>376</v>
      </c>
      <c r="B60" t="s">
        <v>202</v>
      </c>
      <c r="C60" t="s">
        <v>659</v>
      </c>
      <c r="D60" s="23">
        <v>42774</v>
      </c>
      <c r="E60" s="22">
        <v>0.84236111111111101</v>
      </c>
      <c r="F60" t="s">
        <v>377</v>
      </c>
      <c r="G60" t="s">
        <v>378</v>
      </c>
      <c r="H60">
        <v>1657837.0989999999</v>
      </c>
      <c r="I60">
        <v>5304114.7910000002</v>
      </c>
      <c r="J60">
        <v>12.298999999999999</v>
      </c>
      <c r="K60" s="24" t="s">
        <v>13</v>
      </c>
      <c r="L60" t="s">
        <v>12</v>
      </c>
      <c r="M60">
        <f t="shared" si="3"/>
        <v>1.1890000000000001</v>
      </c>
      <c r="N60">
        <v>1.32</v>
      </c>
      <c r="O60">
        <f t="shared" si="1"/>
        <v>0.44900000000000029</v>
      </c>
    </row>
    <row r="61" spans="1:15" x14ac:dyDescent="0.3">
      <c r="A61" t="s">
        <v>379</v>
      </c>
      <c r="B61" t="s">
        <v>202</v>
      </c>
      <c r="C61" t="s">
        <v>659</v>
      </c>
      <c r="D61" s="23">
        <v>42774</v>
      </c>
      <c r="E61" s="22">
        <v>0.84236111111111101</v>
      </c>
      <c r="F61" t="s">
        <v>380</v>
      </c>
      <c r="G61" t="s">
        <v>381</v>
      </c>
      <c r="H61">
        <v>1657838.3130000001</v>
      </c>
      <c r="I61">
        <v>5304114.0449999999</v>
      </c>
      <c r="J61">
        <v>12.254</v>
      </c>
      <c r="K61" s="24" t="s">
        <v>13</v>
      </c>
      <c r="L61" t="s">
        <v>12</v>
      </c>
      <c r="M61">
        <f t="shared" si="3"/>
        <v>1.1440000000000001</v>
      </c>
      <c r="N61">
        <v>1.32</v>
      </c>
      <c r="O61">
        <f t="shared" si="1"/>
        <v>0.40400000000000036</v>
      </c>
    </row>
    <row r="62" spans="1:15" x14ac:dyDescent="0.3">
      <c r="A62" t="s">
        <v>382</v>
      </c>
      <c r="B62" t="s">
        <v>202</v>
      </c>
      <c r="C62" t="s">
        <v>659</v>
      </c>
      <c r="D62" s="23">
        <v>42774</v>
      </c>
      <c r="E62" s="22">
        <v>0.84305555555555556</v>
      </c>
      <c r="F62" t="s">
        <v>383</v>
      </c>
      <c r="G62" t="s">
        <v>384</v>
      </c>
      <c r="H62">
        <v>1657839.581</v>
      </c>
      <c r="I62">
        <v>5304113.6550000003</v>
      </c>
      <c r="J62">
        <v>12.292</v>
      </c>
      <c r="K62" s="24" t="s">
        <v>13</v>
      </c>
      <c r="L62" t="s">
        <v>12</v>
      </c>
      <c r="M62">
        <f t="shared" si="3"/>
        <v>1.1820000000000004</v>
      </c>
      <c r="N62">
        <v>1.32</v>
      </c>
      <c r="O62">
        <f t="shared" si="1"/>
        <v>0.44200000000000061</v>
      </c>
    </row>
    <row r="63" spans="1:15" x14ac:dyDescent="0.3">
      <c r="A63" t="s">
        <v>385</v>
      </c>
      <c r="B63" t="s">
        <v>202</v>
      </c>
      <c r="C63" t="s">
        <v>659</v>
      </c>
      <c r="D63" s="23">
        <v>42774</v>
      </c>
      <c r="E63" s="22">
        <v>0.84305555555555556</v>
      </c>
      <c r="F63" t="s">
        <v>386</v>
      </c>
      <c r="G63" t="s">
        <v>387</v>
      </c>
      <c r="H63">
        <v>1657841.3359999999</v>
      </c>
      <c r="I63">
        <v>5304113.6890000002</v>
      </c>
      <c r="J63">
        <v>12.266</v>
      </c>
      <c r="K63" s="24" t="s">
        <v>13</v>
      </c>
      <c r="L63" t="s">
        <v>12</v>
      </c>
      <c r="M63">
        <f t="shared" si="3"/>
        <v>1.1560000000000006</v>
      </c>
      <c r="N63">
        <v>1.32</v>
      </c>
      <c r="O63">
        <f t="shared" si="1"/>
        <v>0.41600000000000081</v>
      </c>
    </row>
    <row r="64" spans="1:15" x14ac:dyDescent="0.3">
      <c r="A64" t="s">
        <v>388</v>
      </c>
      <c r="B64" t="s">
        <v>202</v>
      </c>
      <c r="C64" t="s">
        <v>659</v>
      </c>
      <c r="D64" s="23">
        <v>42774</v>
      </c>
      <c r="E64" s="22">
        <v>0.84375</v>
      </c>
      <c r="F64" t="s">
        <v>389</v>
      </c>
      <c r="G64" t="s">
        <v>390</v>
      </c>
      <c r="H64">
        <v>1657843.3640000001</v>
      </c>
      <c r="I64">
        <v>5304111.4879999999</v>
      </c>
      <c r="J64">
        <v>12.241</v>
      </c>
      <c r="K64" s="24" t="s">
        <v>13</v>
      </c>
      <c r="L64" t="s">
        <v>12</v>
      </c>
      <c r="M64">
        <f t="shared" si="3"/>
        <v>1.1310000000000002</v>
      </c>
      <c r="N64">
        <v>1.32</v>
      </c>
      <c r="O64">
        <f t="shared" si="1"/>
        <v>0.39100000000000046</v>
      </c>
    </row>
    <row r="65" spans="1:15" x14ac:dyDescent="0.3">
      <c r="A65" t="s">
        <v>391</v>
      </c>
      <c r="B65" t="s">
        <v>202</v>
      </c>
      <c r="C65" t="s">
        <v>659</v>
      </c>
      <c r="D65" s="23">
        <v>42774</v>
      </c>
      <c r="E65" s="22">
        <v>0.84375</v>
      </c>
      <c r="F65" t="s">
        <v>392</v>
      </c>
      <c r="G65" t="s">
        <v>393</v>
      </c>
      <c r="H65">
        <v>1657845.2609999999</v>
      </c>
      <c r="I65">
        <v>5304111.1330000004</v>
      </c>
      <c r="J65">
        <v>12.247999999999999</v>
      </c>
      <c r="K65" s="24" t="s">
        <v>13</v>
      </c>
      <c r="L65" t="s">
        <v>12</v>
      </c>
      <c r="M65">
        <f t="shared" si="3"/>
        <v>1.1379999999999999</v>
      </c>
      <c r="N65">
        <v>1.32</v>
      </c>
      <c r="O65">
        <f t="shared" si="1"/>
        <v>0.39800000000000013</v>
      </c>
    </row>
    <row r="66" spans="1:15" x14ac:dyDescent="0.3">
      <c r="A66" t="s">
        <v>394</v>
      </c>
      <c r="B66" t="s">
        <v>202</v>
      </c>
      <c r="C66" t="s">
        <v>659</v>
      </c>
      <c r="D66" s="23">
        <v>42774</v>
      </c>
      <c r="E66" s="22">
        <v>0.84444444444444444</v>
      </c>
      <c r="F66" t="s">
        <v>395</v>
      </c>
      <c r="G66" t="s">
        <v>396</v>
      </c>
      <c r="H66">
        <v>1657845.14</v>
      </c>
      <c r="I66">
        <v>5304114.0539999995</v>
      </c>
      <c r="J66">
        <v>12.205</v>
      </c>
      <c r="K66" s="24" t="s">
        <v>13</v>
      </c>
      <c r="L66" t="s">
        <v>12</v>
      </c>
      <c r="M66">
        <f t="shared" si="3"/>
        <v>1.0950000000000006</v>
      </c>
      <c r="N66">
        <v>1.32</v>
      </c>
      <c r="O66">
        <f t="shared" si="1"/>
        <v>0.35500000000000087</v>
      </c>
    </row>
    <row r="67" spans="1:15" x14ac:dyDescent="0.3">
      <c r="A67" t="s">
        <v>397</v>
      </c>
      <c r="B67" t="s">
        <v>202</v>
      </c>
      <c r="C67" t="s">
        <v>659</v>
      </c>
      <c r="D67" s="23">
        <v>42774</v>
      </c>
      <c r="E67" s="22">
        <v>0.84444444444444444</v>
      </c>
      <c r="F67" t="s">
        <v>398</v>
      </c>
      <c r="G67" t="s">
        <v>399</v>
      </c>
      <c r="H67">
        <v>1657856.33</v>
      </c>
      <c r="I67">
        <v>5304120.57</v>
      </c>
      <c r="J67">
        <v>12.27</v>
      </c>
      <c r="K67" s="24" t="s">
        <v>13</v>
      </c>
      <c r="L67" t="s">
        <v>12</v>
      </c>
      <c r="M67">
        <f t="shared" si="3"/>
        <v>1.1600000000000001</v>
      </c>
      <c r="N67">
        <v>1.32</v>
      </c>
      <c r="O67">
        <f t="shared" ref="O67:O76" si="4">((N67+M67)-0.96)-1.1</f>
        <v>0.42000000000000037</v>
      </c>
    </row>
    <row r="68" spans="1:15" x14ac:dyDescent="0.3">
      <c r="A68" t="s">
        <v>400</v>
      </c>
      <c r="B68" t="s">
        <v>202</v>
      </c>
      <c r="C68" t="s">
        <v>659</v>
      </c>
      <c r="D68" s="23">
        <v>42774</v>
      </c>
      <c r="E68" s="22">
        <v>0.84444444444444444</v>
      </c>
      <c r="F68" t="s">
        <v>401</v>
      </c>
      <c r="G68" t="s">
        <v>402</v>
      </c>
      <c r="H68">
        <v>1657859.2930000001</v>
      </c>
      <c r="I68">
        <v>5304123.227</v>
      </c>
      <c r="J68">
        <v>12.212</v>
      </c>
      <c r="K68" s="24" t="s">
        <v>13</v>
      </c>
      <c r="L68" t="s">
        <v>12</v>
      </c>
      <c r="M68">
        <f t="shared" si="3"/>
        <v>1.1020000000000003</v>
      </c>
      <c r="N68">
        <v>1.32</v>
      </c>
      <c r="O68">
        <f t="shared" si="4"/>
        <v>0.36200000000000054</v>
      </c>
    </row>
    <row r="69" spans="1:15" x14ac:dyDescent="0.3">
      <c r="A69" t="s">
        <v>403</v>
      </c>
      <c r="B69" t="s">
        <v>202</v>
      </c>
      <c r="C69" t="s">
        <v>659</v>
      </c>
      <c r="D69" s="23">
        <v>42774</v>
      </c>
      <c r="E69" s="22">
        <v>0.84513888888888899</v>
      </c>
      <c r="F69" t="s">
        <v>404</v>
      </c>
      <c r="G69" t="s">
        <v>405</v>
      </c>
      <c r="H69">
        <v>1657860.017</v>
      </c>
      <c r="I69">
        <v>5304123.3899999997</v>
      </c>
      <c r="J69">
        <v>12.228999999999999</v>
      </c>
      <c r="K69" s="24" t="s">
        <v>13</v>
      </c>
      <c r="L69" t="s">
        <v>12</v>
      </c>
      <c r="M69">
        <f t="shared" si="3"/>
        <v>1.1189999999999998</v>
      </c>
      <c r="N69">
        <v>1.32</v>
      </c>
      <c r="O69">
        <f t="shared" si="4"/>
        <v>0.379</v>
      </c>
    </row>
    <row r="70" spans="1:15" x14ac:dyDescent="0.3">
      <c r="A70" t="s">
        <v>406</v>
      </c>
      <c r="B70" t="s">
        <v>202</v>
      </c>
      <c r="C70" t="s">
        <v>659</v>
      </c>
      <c r="D70" s="23">
        <v>42774</v>
      </c>
      <c r="E70" s="22">
        <v>0.84513888888888899</v>
      </c>
      <c r="F70" t="s">
        <v>407</v>
      </c>
      <c r="G70" t="s">
        <v>408</v>
      </c>
      <c r="H70">
        <v>1657856.6969999999</v>
      </c>
      <c r="I70">
        <v>5304123.5489999996</v>
      </c>
      <c r="J70">
        <v>12.22</v>
      </c>
      <c r="K70" s="24" t="s">
        <v>13</v>
      </c>
      <c r="L70" t="s">
        <v>12</v>
      </c>
      <c r="M70">
        <f t="shared" si="3"/>
        <v>1.1100000000000012</v>
      </c>
      <c r="N70">
        <v>1.32</v>
      </c>
      <c r="O70">
        <f t="shared" si="4"/>
        <v>0.37000000000000144</v>
      </c>
    </row>
    <row r="71" spans="1:15" x14ac:dyDescent="0.3">
      <c r="A71" t="s">
        <v>409</v>
      </c>
      <c r="B71" t="s">
        <v>202</v>
      </c>
      <c r="C71" t="s">
        <v>659</v>
      </c>
      <c r="D71" s="23">
        <v>42774</v>
      </c>
      <c r="E71" s="22">
        <v>0.84583333333333333</v>
      </c>
      <c r="F71" t="s">
        <v>410</v>
      </c>
      <c r="G71" t="s">
        <v>411</v>
      </c>
      <c r="H71">
        <v>1657856.2819999999</v>
      </c>
      <c r="I71">
        <v>5304125.2510000002</v>
      </c>
      <c r="J71">
        <v>12.2</v>
      </c>
      <c r="K71" s="24" t="s">
        <v>13</v>
      </c>
      <c r="L71" t="s">
        <v>12</v>
      </c>
      <c r="M71">
        <f t="shared" si="3"/>
        <v>1.0899999999999999</v>
      </c>
      <c r="N71">
        <v>1.32</v>
      </c>
      <c r="O71">
        <f t="shared" si="4"/>
        <v>0.35000000000000009</v>
      </c>
    </row>
    <row r="72" spans="1:15" x14ac:dyDescent="0.3">
      <c r="A72" t="s">
        <v>412</v>
      </c>
      <c r="B72" t="s">
        <v>202</v>
      </c>
      <c r="C72" t="s">
        <v>659</v>
      </c>
      <c r="D72" s="23">
        <v>42774</v>
      </c>
      <c r="E72" s="22">
        <v>0.84583333333333333</v>
      </c>
      <c r="F72" t="s">
        <v>413</v>
      </c>
      <c r="G72" t="s">
        <v>414</v>
      </c>
      <c r="H72">
        <v>1657858.1910000001</v>
      </c>
      <c r="I72">
        <v>5304125.9050000003</v>
      </c>
      <c r="J72">
        <v>12.08</v>
      </c>
      <c r="K72" s="24" t="s">
        <v>13</v>
      </c>
      <c r="L72" t="s">
        <v>12</v>
      </c>
      <c r="M72">
        <f t="shared" si="3"/>
        <v>0.97000000000000064</v>
      </c>
      <c r="N72">
        <v>1.32</v>
      </c>
      <c r="O72">
        <f t="shared" si="4"/>
        <v>0.23000000000000087</v>
      </c>
    </row>
    <row r="73" spans="1:15" x14ac:dyDescent="0.3">
      <c r="A73" t="s">
        <v>415</v>
      </c>
      <c r="B73" t="s">
        <v>202</v>
      </c>
      <c r="C73" t="s">
        <v>659</v>
      </c>
      <c r="D73" s="23">
        <v>42774</v>
      </c>
      <c r="E73" s="22">
        <v>0.84652777777777777</v>
      </c>
      <c r="F73" t="s">
        <v>416</v>
      </c>
      <c r="G73" t="s">
        <v>417</v>
      </c>
      <c r="H73">
        <v>1657856.9909999999</v>
      </c>
      <c r="I73">
        <v>5304127.4550000001</v>
      </c>
      <c r="J73">
        <v>12.180999999999999</v>
      </c>
      <c r="K73" s="24" t="s">
        <v>13</v>
      </c>
      <c r="L73" t="s">
        <v>12</v>
      </c>
      <c r="M73">
        <f t="shared" si="3"/>
        <v>1.0709999999999997</v>
      </c>
      <c r="N73">
        <v>1.32</v>
      </c>
      <c r="O73">
        <f t="shared" si="4"/>
        <v>0.33099999999999996</v>
      </c>
    </row>
    <row r="74" spans="1:15" x14ac:dyDescent="0.3">
      <c r="A74" t="s">
        <v>418</v>
      </c>
      <c r="B74" t="s">
        <v>202</v>
      </c>
      <c r="C74" t="s">
        <v>659</v>
      </c>
      <c r="D74" s="23">
        <v>42774</v>
      </c>
      <c r="E74" s="22">
        <v>0.84652777777777777</v>
      </c>
      <c r="F74" t="s">
        <v>419</v>
      </c>
      <c r="G74" t="s">
        <v>420</v>
      </c>
      <c r="H74">
        <v>1657858.034</v>
      </c>
      <c r="I74">
        <v>5304129.6390000004</v>
      </c>
      <c r="J74">
        <v>12.259</v>
      </c>
      <c r="K74" s="24" t="s">
        <v>13</v>
      </c>
      <c r="L74" t="s">
        <v>12</v>
      </c>
      <c r="M74">
        <f t="shared" si="3"/>
        <v>1.1490000000000009</v>
      </c>
      <c r="N74">
        <v>1.32</v>
      </c>
      <c r="O74">
        <f t="shared" si="4"/>
        <v>0.40900000000000114</v>
      </c>
    </row>
    <row r="75" spans="1:15" x14ac:dyDescent="0.3">
      <c r="A75" t="s">
        <v>421</v>
      </c>
      <c r="B75" t="s">
        <v>202</v>
      </c>
      <c r="C75" t="s">
        <v>659</v>
      </c>
      <c r="D75" s="23">
        <v>42774</v>
      </c>
      <c r="E75" s="22">
        <v>0.85138888888888886</v>
      </c>
      <c r="F75" t="s">
        <v>422</v>
      </c>
      <c r="G75" t="s">
        <v>423</v>
      </c>
      <c r="H75">
        <v>1657918.0090000001</v>
      </c>
      <c r="I75">
        <v>5304194.2759999996</v>
      </c>
      <c r="J75">
        <v>12.345000000000001</v>
      </c>
      <c r="K75" s="24" t="s">
        <v>13</v>
      </c>
      <c r="L75" t="s">
        <v>12</v>
      </c>
      <c r="M75">
        <f t="shared" si="3"/>
        <v>1.2350000000000012</v>
      </c>
      <c r="N75">
        <v>1.32</v>
      </c>
      <c r="O75">
        <f t="shared" si="4"/>
        <v>0.49500000000000144</v>
      </c>
    </row>
    <row r="76" spans="1:15" x14ac:dyDescent="0.3">
      <c r="A76" t="s">
        <v>424</v>
      </c>
      <c r="B76" t="s">
        <v>202</v>
      </c>
      <c r="C76" t="s">
        <v>659</v>
      </c>
      <c r="D76" s="23">
        <v>42774</v>
      </c>
      <c r="E76" s="22">
        <v>0.85277777777777775</v>
      </c>
      <c r="F76" t="s">
        <v>425</v>
      </c>
      <c r="G76" t="s">
        <v>426</v>
      </c>
      <c r="H76">
        <v>1657917.287</v>
      </c>
      <c r="I76">
        <v>5304195.9009999996</v>
      </c>
      <c r="J76">
        <v>12.326000000000001</v>
      </c>
      <c r="K76" s="24" t="s">
        <v>13</v>
      </c>
      <c r="L76" t="s">
        <v>12</v>
      </c>
      <c r="M76">
        <f t="shared" si="3"/>
        <v>1.2160000000000011</v>
      </c>
      <c r="N76">
        <v>1.32</v>
      </c>
      <c r="O76">
        <f t="shared" si="4"/>
        <v>0.47600000000000131</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9"/>
  <sheetViews>
    <sheetView workbookViewId="0">
      <selection activeCell="H1" sqref="H1:I1"/>
    </sheetView>
  </sheetViews>
  <sheetFormatPr defaultRowHeight="14.4" x14ac:dyDescent="0.3"/>
  <cols>
    <col min="1" max="1" width="7.77734375" style="32" customWidth="1"/>
    <col min="2" max="2" width="13.6640625" style="32" customWidth="1"/>
    <col min="3" max="3" width="8.77734375" style="41" customWidth="1"/>
    <col min="4" max="4" width="12.21875" style="41" customWidth="1"/>
    <col min="5" max="5" width="10.33203125" style="41" customWidth="1"/>
    <col min="6" max="6" width="15.33203125" style="32" customWidth="1"/>
    <col min="7" max="7" width="16.77734375" style="32" customWidth="1"/>
    <col min="8" max="10" width="9.109375" style="32" customWidth="1"/>
    <col min="11" max="11" width="12.21875" style="32" customWidth="1"/>
    <col min="12" max="14" width="9.109375" style="32" customWidth="1"/>
    <col min="15" max="15" width="8" style="32" customWidth="1"/>
    <col min="16" max="16" width="7.5546875" style="32" customWidth="1"/>
    <col min="17" max="17" width="13.33203125" style="32" customWidth="1"/>
    <col min="18" max="18" width="16.109375" style="32" customWidth="1"/>
    <col min="19" max="19" width="8.88671875" style="32"/>
    <col min="20" max="20" width="16.109375" style="32" customWidth="1"/>
    <col min="21" max="21" width="12.33203125" style="32" customWidth="1"/>
    <col min="22" max="22" width="8.88671875" style="32"/>
    <col min="23" max="24" width="9.5546875" style="32" bestFit="1" customWidth="1"/>
    <col min="25" max="256" width="8.88671875" style="32"/>
    <col min="257" max="257" width="9.109375" style="32" customWidth="1"/>
    <col min="258" max="258" width="14" style="32" customWidth="1"/>
    <col min="259" max="259" width="13.6640625" style="32" customWidth="1"/>
    <col min="260" max="260" width="12.6640625" style="32" customWidth="1"/>
    <col min="261" max="261" width="16.109375" style="32" customWidth="1"/>
    <col min="262" max="262" width="7.33203125" style="32" customWidth="1"/>
    <col min="263" max="263" width="16.88671875" style="32" customWidth="1"/>
    <col min="264" max="264" width="17.6640625" style="32" customWidth="1"/>
    <col min="265" max="270" width="9.109375" style="32" customWidth="1"/>
    <col min="271" max="272" width="14.88671875" style="32" customWidth="1"/>
    <col min="273" max="274" width="16.109375" style="32" customWidth="1"/>
    <col min="275" max="275" width="8.88671875" style="32"/>
    <col min="276" max="276" width="16.109375" style="32" customWidth="1"/>
    <col min="277" max="512" width="8.88671875" style="32"/>
    <col min="513" max="513" width="9.109375" style="32" customWidth="1"/>
    <col min="514" max="514" width="14" style="32" customWidth="1"/>
    <col min="515" max="515" width="13.6640625" style="32" customWidth="1"/>
    <col min="516" max="516" width="12.6640625" style="32" customWidth="1"/>
    <col min="517" max="517" width="16.109375" style="32" customWidth="1"/>
    <col min="518" max="518" width="7.33203125" style="32" customWidth="1"/>
    <col min="519" max="519" width="16.88671875" style="32" customWidth="1"/>
    <col min="520" max="520" width="17.6640625" style="32" customWidth="1"/>
    <col min="521" max="526" width="9.109375" style="32" customWidth="1"/>
    <col min="527" max="528" width="14.88671875" style="32" customWidth="1"/>
    <col min="529" max="530" width="16.109375" style="32" customWidth="1"/>
    <col min="531" max="531" width="8.88671875" style="32"/>
    <col min="532" max="532" width="16.109375" style="32" customWidth="1"/>
    <col min="533" max="768" width="8.88671875" style="32"/>
    <col min="769" max="769" width="9.109375" style="32" customWidth="1"/>
    <col min="770" max="770" width="14" style="32" customWidth="1"/>
    <col min="771" max="771" width="13.6640625" style="32" customWidth="1"/>
    <col min="772" max="772" width="12.6640625" style="32" customWidth="1"/>
    <col min="773" max="773" width="16.109375" style="32" customWidth="1"/>
    <col min="774" max="774" width="7.33203125" style="32" customWidth="1"/>
    <col min="775" max="775" width="16.88671875" style="32" customWidth="1"/>
    <col min="776" max="776" width="17.6640625" style="32" customWidth="1"/>
    <col min="777" max="782" width="9.109375" style="32" customWidth="1"/>
    <col min="783" max="784" width="14.88671875" style="32" customWidth="1"/>
    <col min="785" max="786" width="16.109375" style="32" customWidth="1"/>
    <col min="787" max="787" width="8.88671875" style="32"/>
    <col min="788" max="788" width="16.109375" style="32" customWidth="1"/>
    <col min="789" max="1024" width="8.88671875" style="32"/>
    <col min="1025" max="1025" width="9.109375" style="32" customWidth="1"/>
    <col min="1026" max="1026" width="14" style="32" customWidth="1"/>
    <col min="1027" max="1027" width="13.6640625" style="32" customWidth="1"/>
    <col min="1028" max="1028" width="12.6640625" style="32" customWidth="1"/>
    <col min="1029" max="1029" width="16.109375" style="32" customWidth="1"/>
    <col min="1030" max="1030" width="7.33203125" style="32" customWidth="1"/>
    <col min="1031" max="1031" width="16.88671875" style="32" customWidth="1"/>
    <col min="1032" max="1032" width="17.6640625" style="32" customWidth="1"/>
    <col min="1033" max="1038" width="9.109375" style="32" customWidth="1"/>
    <col min="1039" max="1040" width="14.88671875" style="32" customWidth="1"/>
    <col min="1041" max="1042" width="16.109375" style="32" customWidth="1"/>
    <col min="1043" max="1043" width="8.88671875" style="32"/>
    <col min="1044" max="1044" width="16.109375" style="32" customWidth="1"/>
    <col min="1045" max="1280" width="8.88671875" style="32"/>
    <col min="1281" max="1281" width="9.109375" style="32" customWidth="1"/>
    <col min="1282" max="1282" width="14" style="32" customWidth="1"/>
    <col min="1283" max="1283" width="13.6640625" style="32" customWidth="1"/>
    <col min="1284" max="1284" width="12.6640625" style="32" customWidth="1"/>
    <col min="1285" max="1285" width="16.109375" style="32" customWidth="1"/>
    <col min="1286" max="1286" width="7.33203125" style="32" customWidth="1"/>
    <col min="1287" max="1287" width="16.88671875" style="32" customWidth="1"/>
    <col min="1288" max="1288" width="17.6640625" style="32" customWidth="1"/>
    <col min="1289" max="1294" width="9.109375" style="32" customWidth="1"/>
    <col min="1295" max="1296" width="14.88671875" style="32" customWidth="1"/>
    <col min="1297" max="1298" width="16.109375" style="32" customWidth="1"/>
    <col min="1299" max="1299" width="8.88671875" style="32"/>
    <col min="1300" max="1300" width="16.109375" style="32" customWidth="1"/>
    <col min="1301" max="1536" width="8.88671875" style="32"/>
    <col min="1537" max="1537" width="9.109375" style="32" customWidth="1"/>
    <col min="1538" max="1538" width="14" style="32" customWidth="1"/>
    <col min="1539" max="1539" width="13.6640625" style="32" customWidth="1"/>
    <col min="1540" max="1540" width="12.6640625" style="32" customWidth="1"/>
    <col min="1541" max="1541" width="16.109375" style="32" customWidth="1"/>
    <col min="1542" max="1542" width="7.33203125" style="32" customWidth="1"/>
    <col min="1543" max="1543" width="16.88671875" style="32" customWidth="1"/>
    <col min="1544" max="1544" width="17.6640625" style="32" customWidth="1"/>
    <col min="1545" max="1550" width="9.109375" style="32" customWidth="1"/>
    <col min="1551" max="1552" width="14.88671875" style="32" customWidth="1"/>
    <col min="1553" max="1554" width="16.109375" style="32" customWidth="1"/>
    <col min="1555" max="1555" width="8.88671875" style="32"/>
    <col min="1556" max="1556" width="16.109375" style="32" customWidth="1"/>
    <col min="1557" max="1792" width="8.88671875" style="32"/>
    <col min="1793" max="1793" width="9.109375" style="32" customWidth="1"/>
    <col min="1794" max="1794" width="14" style="32" customWidth="1"/>
    <col min="1795" max="1795" width="13.6640625" style="32" customWidth="1"/>
    <col min="1796" max="1796" width="12.6640625" style="32" customWidth="1"/>
    <col min="1797" max="1797" width="16.109375" style="32" customWidth="1"/>
    <col min="1798" max="1798" width="7.33203125" style="32" customWidth="1"/>
    <col min="1799" max="1799" width="16.88671875" style="32" customWidth="1"/>
    <col min="1800" max="1800" width="17.6640625" style="32" customWidth="1"/>
    <col min="1801" max="1806" width="9.109375" style="32" customWidth="1"/>
    <col min="1807" max="1808" width="14.88671875" style="32" customWidth="1"/>
    <col min="1809" max="1810" width="16.109375" style="32" customWidth="1"/>
    <col min="1811" max="1811" width="8.88671875" style="32"/>
    <col min="1812" max="1812" width="16.109375" style="32" customWidth="1"/>
    <col min="1813" max="2048" width="8.88671875" style="32"/>
    <col min="2049" max="2049" width="9.109375" style="32" customWidth="1"/>
    <col min="2050" max="2050" width="14" style="32" customWidth="1"/>
    <col min="2051" max="2051" width="13.6640625" style="32" customWidth="1"/>
    <col min="2052" max="2052" width="12.6640625" style="32" customWidth="1"/>
    <col min="2053" max="2053" width="16.109375" style="32" customWidth="1"/>
    <col min="2054" max="2054" width="7.33203125" style="32" customWidth="1"/>
    <col min="2055" max="2055" width="16.88671875" style="32" customWidth="1"/>
    <col min="2056" max="2056" width="17.6640625" style="32" customWidth="1"/>
    <col min="2057" max="2062" width="9.109375" style="32" customWidth="1"/>
    <col min="2063" max="2064" width="14.88671875" style="32" customWidth="1"/>
    <col min="2065" max="2066" width="16.109375" style="32" customWidth="1"/>
    <col min="2067" max="2067" width="8.88671875" style="32"/>
    <col min="2068" max="2068" width="16.109375" style="32" customWidth="1"/>
    <col min="2069" max="2304" width="8.88671875" style="32"/>
    <col min="2305" max="2305" width="9.109375" style="32" customWidth="1"/>
    <col min="2306" max="2306" width="14" style="32" customWidth="1"/>
    <col min="2307" max="2307" width="13.6640625" style="32" customWidth="1"/>
    <col min="2308" max="2308" width="12.6640625" style="32" customWidth="1"/>
    <col min="2309" max="2309" width="16.109375" style="32" customWidth="1"/>
    <col min="2310" max="2310" width="7.33203125" style="32" customWidth="1"/>
    <col min="2311" max="2311" width="16.88671875" style="32" customWidth="1"/>
    <col min="2312" max="2312" width="17.6640625" style="32" customWidth="1"/>
    <col min="2313" max="2318" width="9.109375" style="32" customWidth="1"/>
    <col min="2319" max="2320" width="14.88671875" style="32" customWidth="1"/>
    <col min="2321" max="2322" width="16.109375" style="32" customWidth="1"/>
    <col min="2323" max="2323" width="8.88671875" style="32"/>
    <col min="2324" max="2324" width="16.109375" style="32" customWidth="1"/>
    <col min="2325" max="2560" width="8.88671875" style="32"/>
    <col min="2561" max="2561" width="9.109375" style="32" customWidth="1"/>
    <col min="2562" max="2562" width="14" style="32" customWidth="1"/>
    <col min="2563" max="2563" width="13.6640625" style="32" customWidth="1"/>
    <col min="2564" max="2564" width="12.6640625" style="32" customWidth="1"/>
    <col min="2565" max="2565" width="16.109375" style="32" customWidth="1"/>
    <col min="2566" max="2566" width="7.33203125" style="32" customWidth="1"/>
    <col min="2567" max="2567" width="16.88671875" style="32" customWidth="1"/>
    <col min="2568" max="2568" width="17.6640625" style="32" customWidth="1"/>
    <col min="2569" max="2574" width="9.109375" style="32" customWidth="1"/>
    <col min="2575" max="2576" width="14.88671875" style="32" customWidth="1"/>
    <col min="2577" max="2578" width="16.109375" style="32" customWidth="1"/>
    <col min="2579" max="2579" width="8.88671875" style="32"/>
    <col min="2580" max="2580" width="16.109375" style="32" customWidth="1"/>
    <col min="2581" max="2816" width="8.88671875" style="32"/>
    <col min="2817" max="2817" width="9.109375" style="32" customWidth="1"/>
    <col min="2818" max="2818" width="14" style="32" customWidth="1"/>
    <col min="2819" max="2819" width="13.6640625" style="32" customWidth="1"/>
    <col min="2820" max="2820" width="12.6640625" style="32" customWidth="1"/>
    <col min="2821" max="2821" width="16.109375" style="32" customWidth="1"/>
    <col min="2822" max="2822" width="7.33203125" style="32" customWidth="1"/>
    <col min="2823" max="2823" width="16.88671875" style="32" customWidth="1"/>
    <col min="2824" max="2824" width="17.6640625" style="32" customWidth="1"/>
    <col min="2825" max="2830" width="9.109375" style="32" customWidth="1"/>
    <col min="2831" max="2832" width="14.88671875" style="32" customWidth="1"/>
    <col min="2833" max="2834" width="16.109375" style="32" customWidth="1"/>
    <col min="2835" max="2835" width="8.88671875" style="32"/>
    <col min="2836" max="2836" width="16.109375" style="32" customWidth="1"/>
    <col min="2837" max="3072" width="8.88671875" style="32"/>
    <col min="3073" max="3073" width="9.109375" style="32" customWidth="1"/>
    <col min="3074" max="3074" width="14" style="32" customWidth="1"/>
    <col min="3075" max="3075" width="13.6640625" style="32" customWidth="1"/>
    <col min="3076" max="3076" width="12.6640625" style="32" customWidth="1"/>
    <col min="3077" max="3077" width="16.109375" style="32" customWidth="1"/>
    <col min="3078" max="3078" width="7.33203125" style="32" customWidth="1"/>
    <col min="3079" max="3079" width="16.88671875" style="32" customWidth="1"/>
    <col min="3080" max="3080" width="17.6640625" style="32" customWidth="1"/>
    <col min="3081" max="3086" width="9.109375" style="32" customWidth="1"/>
    <col min="3087" max="3088" width="14.88671875" style="32" customWidth="1"/>
    <col min="3089" max="3090" width="16.109375" style="32" customWidth="1"/>
    <col min="3091" max="3091" width="8.88671875" style="32"/>
    <col min="3092" max="3092" width="16.109375" style="32" customWidth="1"/>
    <col min="3093" max="3328" width="8.88671875" style="32"/>
    <col min="3329" max="3329" width="9.109375" style="32" customWidth="1"/>
    <col min="3330" max="3330" width="14" style="32" customWidth="1"/>
    <col min="3331" max="3331" width="13.6640625" style="32" customWidth="1"/>
    <col min="3332" max="3332" width="12.6640625" style="32" customWidth="1"/>
    <col min="3333" max="3333" width="16.109375" style="32" customWidth="1"/>
    <col min="3334" max="3334" width="7.33203125" style="32" customWidth="1"/>
    <col min="3335" max="3335" width="16.88671875" style="32" customWidth="1"/>
    <col min="3336" max="3336" width="17.6640625" style="32" customWidth="1"/>
    <col min="3337" max="3342" width="9.109375" style="32" customWidth="1"/>
    <col min="3343" max="3344" width="14.88671875" style="32" customWidth="1"/>
    <col min="3345" max="3346" width="16.109375" style="32" customWidth="1"/>
    <col min="3347" max="3347" width="8.88671875" style="32"/>
    <col min="3348" max="3348" width="16.109375" style="32" customWidth="1"/>
    <col min="3349" max="3584" width="8.88671875" style="32"/>
    <col min="3585" max="3585" width="9.109375" style="32" customWidth="1"/>
    <col min="3586" max="3586" width="14" style="32" customWidth="1"/>
    <col min="3587" max="3587" width="13.6640625" style="32" customWidth="1"/>
    <col min="3588" max="3588" width="12.6640625" style="32" customWidth="1"/>
    <col min="3589" max="3589" width="16.109375" style="32" customWidth="1"/>
    <col min="3590" max="3590" width="7.33203125" style="32" customWidth="1"/>
    <col min="3591" max="3591" width="16.88671875" style="32" customWidth="1"/>
    <col min="3592" max="3592" width="17.6640625" style="32" customWidth="1"/>
    <col min="3593" max="3598" width="9.109375" style="32" customWidth="1"/>
    <col min="3599" max="3600" width="14.88671875" style="32" customWidth="1"/>
    <col min="3601" max="3602" width="16.109375" style="32" customWidth="1"/>
    <col min="3603" max="3603" width="8.88671875" style="32"/>
    <col min="3604" max="3604" width="16.109375" style="32" customWidth="1"/>
    <col min="3605" max="3840" width="8.88671875" style="32"/>
    <col min="3841" max="3841" width="9.109375" style="32" customWidth="1"/>
    <col min="3842" max="3842" width="14" style="32" customWidth="1"/>
    <col min="3843" max="3843" width="13.6640625" style="32" customWidth="1"/>
    <col min="3844" max="3844" width="12.6640625" style="32" customWidth="1"/>
    <col min="3845" max="3845" width="16.109375" style="32" customWidth="1"/>
    <col min="3846" max="3846" width="7.33203125" style="32" customWidth="1"/>
    <col min="3847" max="3847" width="16.88671875" style="32" customWidth="1"/>
    <col min="3848" max="3848" width="17.6640625" style="32" customWidth="1"/>
    <col min="3849" max="3854" width="9.109375" style="32" customWidth="1"/>
    <col min="3855" max="3856" width="14.88671875" style="32" customWidth="1"/>
    <col min="3857" max="3858" width="16.109375" style="32" customWidth="1"/>
    <col min="3859" max="3859" width="8.88671875" style="32"/>
    <col min="3860" max="3860" width="16.109375" style="32" customWidth="1"/>
    <col min="3861" max="4096" width="8.88671875" style="32"/>
    <col min="4097" max="4097" width="9.109375" style="32" customWidth="1"/>
    <col min="4098" max="4098" width="14" style="32" customWidth="1"/>
    <col min="4099" max="4099" width="13.6640625" style="32" customWidth="1"/>
    <col min="4100" max="4100" width="12.6640625" style="32" customWidth="1"/>
    <col min="4101" max="4101" width="16.109375" style="32" customWidth="1"/>
    <col min="4102" max="4102" width="7.33203125" style="32" customWidth="1"/>
    <col min="4103" max="4103" width="16.88671875" style="32" customWidth="1"/>
    <col min="4104" max="4104" width="17.6640625" style="32" customWidth="1"/>
    <col min="4105" max="4110" width="9.109375" style="32" customWidth="1"/>
    <col min="4111" max="4112" width="14.88671875" style="32" customWidth="1"/>
    <col min="4113" max="4114" width="16.109375" style="32" customWidth="1"/>
    <col min="4115" max="4115" width="8.88671875" style="32"/>
    <col min="4116" max="4116" width="16.109375" style="32" customWidth="1"/>
    <col min="4117" max="4352" width="8.88671875" style="32"/>
    <col min="4353" max="4353" width="9.109375" style="32" customWidth="1"/>
    <col min="4354" max="4354" width="14" style="32" customWidth="1"/>
    <col min="4355" max="4355" width="13.6640625" style="32" customWidth="1"/>
    <col min="4356" max="4356" width="12.6640625" style="32" customWidth="1"/>
    <col min="4357" max="4357" width="16.109375" style="32" customWidth="1"/>
    <col min="4358" max="4358" width="7.33203125" style="32" customWidth="1"/>
    <col min="4359" max="4359" width="16.88671875" style="32" customWidth="1"/>
    <col min="4360" max="4360" width="17.6640625" style="32" customWidth="1"/>
    <col min="4361" max="4366" width="9.109375" style="32" customWidth="1"/>
    <col min="4367" max="4368" width="14.88671875" style="32" customWidth="1"/>
    <col min="4369" max="4370" width="16.109375" style="32" customWidth="1"/>
    <col min="4371" max="4371" width="8.88671875" style="32"/>
    <col min="4372" max="4372" width="16.109375" style="32" customWidth="1"/>
    <col min="4373" max="4608" width="8.88671875" style="32"/>
    <col min="4609" max="4609" width="9.109375" style="32" customWidth="1"/>
    <col min="4610" max="4610" width="14" style="32" customWidth="1"/>
    <col min="4611" max="4611" width="13.6640625" style="32" customWidth="1"/>
    <col min="4612" max="4612" width="12.6640625" style="32" customWidth="1"/>
    <col min="4613" max="4613" width="16.109375" style="32" customWidth="1"/>
    <col min="4614" max="4614" width="7.33203125" style="32" customWidth="1"/>
    <col min="4615" max="4615" width="16.88671875" style="32" customWidth="1"/>
    <col min="4616" max="4616" width="17.6640625" style="32" customWidth="1"/>
    <col min="4617" max="4622" width="9.109375" style="32" customWidth="1"/>
    <col min="4623" max="4624" width="14.88671875" style="32" customWidth="1"/>
    <col min="4625" max="4626" width="16.109375" style="32" customWidth="1"/>
    <col min="4627" max="4627" width="8.88671875" style="32"/>
    <col min="4628" max="4628" width="16.109375" style="32" customWidth="1"/>
    <col min="4629" max="4864" width="8.88671875" style="32"/>
    <col min="4865" max="4865" width="9.109375" style="32" customWidth="1"/>
    <col min="4866" max="4866" width="14" style="32" customWidth="1"/>
    <col min="4867" max="4867" width="13.6640625" style="32" customWidth="1"/>
    <col min="4868" max="4868" width="12.6640625" style="32" customWidth="1"/>
    <col min="4869" max="4869" width="16.109375" style="32" customWidth="1"/>
    <col min="4870" max="4870" width="7.33203125" style="32" customWidth="1"/>
    <col min="4871" max="4871" width="16.88671875" style="32" customWidth="1"/>
    <col min="4872" max="4872" width="17.6640625" style="32" customWidth="1"/>
    <col min="4873" max="4878" width="9.109375" style="32" customWidth="1"/>
    <col min="4879" max="4880" width="14.88671875" style="32" customWidth="1"/>
    <col min="4881" max="4882" width="16.109375" style="32" customWidth="1"/>
    <col min="4883" max="4883" width="8.88671875" style="32"/>
    <col min="4884" max="4884" width="16.109375" style="32" customWidth="1"/>
    <col min="4885" max="5120" width="8.88671875" style="32"/>
    <col min="5121" max="5121" width="9.109375" style="32" customWidth="1"/>
    <col min="5122" max="5122" width="14" style="32" customWidth="1"/>
    <col min="5123" max="5123" width="13.6640625" style="32" customWidth="1"/>
    <col min="5124" max="5124" width="12.6640625" style="32" customWidth="1"/>
    <col min="5125" max="5125" width="16.109375" style="32" customWidth="1"/>
    <col min="5126" max="5126" width="7.33203125" style="32" customWidth="1"/>
    <col min="5127" max="5127" width="16.88671875" style="32" customWidth="1"/>
    <col min="5128" max="5128" width="17.6640625" style="32" customWidth="1"/>
    <col min="5129" max="5134" width="9.109375" style="32" customWidth="1"/>
    <col min="5135" max="5136" width="14.88671875" style="32" customWidth="1"/>
    <col min="5137" max="5138" width="16.109375" style="32" customWidth="1"/>
    <col min="5139" max="5139" width="8.88671875" style="32"/>
    <col min="5140" max="5140" width="16.109375" style="32" customWidth="1"/>
    <col min="5141" max="5376" width="8.88671875" style="32"/>
    <col min="5377" max="5377" width="9.109375" style="32" customWidth="1"/>
    <col min="5378" max="5378" width="14" style="32" customWidth="1"/>
    <col min="5379" max="5379" width="13.6640625" style="32" customWidth="1"/>
    <col min="5380" max="5380" width="12.6640625" style="32" customWidth="1"/>
    <col min="5381" max="5381" width="16.109375" style="32" customWidth="1"/>
    <col min="5382" max="5382" width="7.33203125" style="32" customWidth="1"/>
    <col min="5383" max="5383" width="16.88671875" style="32" customWidth="1"/>
    <col min="5384" max="5384" width="17.6640625" style="32" customWidth="1"/>
    <col min="5385" max="5390" width="9.109375" style="32" customWidth="1"/>
    <col min="5391" max="5392" width="14.88671875" style="32" customWidth="1"/>
    <col min="5393" max="5394" width="16.109375" style="32" customWidth="1"/>
    <col min="5395" max="5395" width="8.88671875" style="32"/>
    <col min="5396" max="5396" width="16.109375" style="32" customWidth="1"/>
    <col min="5397" max="5632" width="8.88671875" style="32"/>
    <col min="5633" max="5633" width="9.109375" style="32" customWidth="1"/>
    <col min="5634" max="5634" width="14" style="32" customWidth="1"/>
    <col min="5635" max="5635" width="13.6640625" style="32" customWidth="1"/>
    <col min="5636" max="5636" width="12.6640625" style="32" customWidth="1"/>
    <col min="5637" max="5637" width="16.109375" style="32" customWidth="1"/>
    <col min="5638" max="5638" width="7.33203125" style="32" customWidth="1"/>
    <col min="5639" max="5639" width="16.88671875" style="32" customWidth="1"/>
    <col min="5640" max="5640" width="17.6640625" style="32" customWidth="1"/>
    <col min="5641" max="5646" width="9.109375" style="32" customWidth="1"/>
    <col min="5647" max="5648" width="14.88671875" style="32" customWidth="1"/>
    <col min="5649" max="5650" width="16.109375" style="32" customWidth="1"/>
    <col min="5651" max="5651" width="8.88671875" style="32"/>
    <col min="5652" max="5652" width="16.109375" style="32" customWidth="1"/>
    <col min="5653" max="5888" width="8.88671875" style="32"/>
    <col min="5889" max="5889" width="9.109375" style="32" customWidth="1"/>
    <col min="5890" max="5890" width="14" style="32" customWidth="1"/>
    <col min="5891" max="5891" width="13.6640625" style="32" customWidth="1"/>
    <col min="5892" max="5892" width="12.6640625" style="32" customWidth="1"/>
    <col min="5893" max="5893" width="16.109375" style="32" customWidth="1"/>
    <col min="5894" max="5894" width="7.33203125" style="32" customWidth="1"/>
    <col min="5895" max="5895" width="16.88671875" style="32" customWidth="1"/>
    <col min="5896" max="5896" width="17.6640625" style="32" customWidth="1"/>
    <col min="5897" max="5902" width="9.109375" style="32" customWidth="1"/>
    <col min="5903" max="5904" width="14.88671875" style="32" customWidth="1"/>
    <col min="5905" max="5906" width="16.109375" style="32" customWidth="1"/>
    <col min="5907" max="5907" width="8.88671875" style="32"/>
    <col min="5908" max="5908" width="16.109375" style="32" customWidth="1"/>
    <col min="5909" max="6144" width="8.88671875" style="32"/>
    <col min="6145" max="6145" width="9.109375" style="32" customWidth="1"/>
    <col min="6146" max="6146" width="14" style="32" customWidth="1"/>
    <col min="6147" max="6147" width="13.6640625" style="32" customWidth="1"/>
    <col min="6148" max="6148" width="12.6640625" style="32" customWidth="1"/>
    <col min="6149" max="6149" width="16.109375" style="32" customWidth="1"/>
    <col min="6150" max="6150" width="7.33203125" style="32" customWidth="1"/>
    <col min="6151" max="6151" width="16.88671875" style="32" customWidth="1"/>
    <col min="6152" max="6152" width="17.6640625" style="32" customWidth="1"/>
    <col min="6153" max="6158" width="9.109375" style="32" customWidth="1"/>
    <col min="6159" max="6160" width="14.88671875" style="32" customWidth="1"/>
    <col min="6161" max="6162" width="16.109375" style="32" customWidth="1"/>
    <col min="6163" max="6163" width="8.88671875" style="32"/>
    <col min="6164" max="6164" width="16.109375" style="32" customWidth="1"/>
    <col min="6165" max="6400" width="8.88671875" style="32"/>
    <col min="6401" max="6401" width="9.109375" style="32" customWidth="1"/>
    <col min="6402" max="6402" width="14" style="32" customWidth="1"/>
    <col min="6403" max="6403" width="13.6640625" style="32" customWidth="1"/>
    <col min="6404" max="6404" width="12.6640625" style="32" customWidth="1"/>
    <col min="6405" max="6405" width="16.109375" style="32" customWidth="1"/>
    <col min="6406" max="6406" width="7.33203125" style="32" customWidth="1"/>
    <col min="6407" max="6407" width="16.88671875" style="32" customWidth="1"/>
    <col min="6408" max="6408" width="17.6640625" style="32" customWidth="1"/>
    <col min="6409" max="6414" width="9.109375" style="32" customWidth="1"/>
    <col min="6415" max="6416" width="14.88671875" style="32" customWidth="1"/>
    <col min="6417" max="6418" width="16.109375" style="32" customWidth="1"/>
    <col min="6419" max="6419" width="8.88671875" style="32"/>
    <col min="6420" max="6420" width="16.109375" style="32" customWidth="1"/>
    <col min="6421" max="6656" width="8.88671875" style="32"/>
    <col min="6657" max="6657" width="9.109375" style="32" customWidth="1"/>
    <col min="6658" max="6658" width="14" style="32" customWidth="1"/>
    <col min="6659" max="6659" width="13.6640625" style="32" customWidth="1"/>
    <col min="6660" max="6660" width="12.6640625" style="32" customWidth="1"/>
    <col min="6661" max="6661" width="16.109375" style="32" customWidth="1"/>
    <col min="6662" max="6662" width="7.33203125" style="32" customWidth="1"/>
    <col min="6663" max="6663" width="16.88671875" style="32" customWidth="1"/>
    <col min="6664" max="6664" width="17.6640625" style="32" customWidth="1"/>
    <col min="6665" max="6670" width="9.109375" style="32" customWidth="1"/>
    <col min="6671" max="6672" width="14.88671875" style="32" customWidth="1"/>
    <col min="6673" max="6674" width="16.109375" style="32" customWidth="1"/>
    <col min="6675" max="6675" width="8.88671875" style="32"/>
    <col min="6676" max="6676" width="16.109375" style="32" customWidth="1"/>
    <col min="6677" max="6912" width="8.88671875" style="32"/>
    <col min="6913" max="6913" width="9.109375" style="32" customWidth="1"/>
    <col min="6914" max="6914" width="14" style="32" customWidth="1"/>
    <col min="6915" max="6915" width="13.6640625" style="32" customWidth="1"/>
    <col min="6916" max="6916" width="12.6640625" style="32" customWidth="1"/>
    <col min="6917" max="6917" width="16.109375" style="32" customWidth="1"/>
    <col min="6918" max="6918" width="7.33203125" style="32" customWidth="1"/>
    <col min="6919" max="6919" width="16.88671875" style="32" customWidth="1"/>
    <col min="6920" max="6920" width="17.6640625" style="32" customWidth="1"/>
    <col min="6921" max="6926" width="9.109375" style="32" customWidth="1"/>
    <col min="6927" max="6928" width="14.88671875" style="32" customWidth="1"/>
    <col min="6929" max="6930" width="16.109375" style="32" customWidth="1"/>
    <col min="6931" max="6931" width="8.88671875" style="32"/>
    <col min="6932" max="6932" width="16.109375" style="32" customWidth="1"/>
    <col min="6933" max="7168" width="8.88671875" style="32"/>
    <col min="7169" max="7169" width="9.109375" style="32" customWidth="1"/>
    <col min="7170" max="7170" width="14" style="32" customWidth="1"/>
    <col min="7171" max="7171" width="13.6640625" style="32" customWidth="1"/>
    <col min="7172" max="7172" width="12.6640625" style="32" customWidth="1"/>
    <col min="7173" max="7173" width="16.109375" style="32" customWidth="1"/>
    <col min="7174" max="7174" width="7.33203125" style="32" customWidth="1"/>
    <col min="7175" max="7175" width="16.88671875" style="32" customWidth="1"/>
    <col min="7176" max="7176" width="17.6640625" style="32" customWidth="1"/>
    <col min="7177" max="7182" width="9.109375" style="32" customWidth="1"/>
    <col min="7183" max="7184" width="14.88671875" style="32" customWidth="1"/>
    <col min="7185" max="7186" width="16.109375" style="32" customWidth="1"/>
    <col min="7187" max="7187" width="8.88671875" style="32"/>
    <col min="7188" max="7188" width="16.109375" style="32" customWidth="1"/>
    <col min="7189" max="7424" width="8.88671875" style="32"/>
    <col min="7425" max="7425" width="9.109375" style="32" customWidth="1"/>
    <col min="7426" max="7426" width="14" style="32" customWidth="1"/>
    <col min="7427" max="7427" width="13.6640625" style="32" customWidth="1"/>
    <col min="7428" max="7428" width="12.6640625" style="32" customWidth="1"/>
    <col min="7429" max="7429" width="16.109375" style="32" customWidth="1"/>
    <col min="7430" max="7430" width="7.33203125" style="32" customWidth="1"/>
    <col min="7431" max="7431" width="16.88671875" style="32" customWidth="1"/>
    <col min="7432" max="7432" width="17.6640625" style="32" customWidth="1"/>
    <col min="7433" max="7438" width="9.109375" style="32" customWidth="1"/>
    <col min="7439" max="7440" width="14.88671875" style="32" customWidth="1"/>
    <col min="7441" max="7442" width="16.109375" style="32" customWidth="1"/>
    <col min="7443" max="7443" width="8.88671875" style="32"/>
    <col min="7444" max="7444" width="16.109375" style="32" customWidth="1"/>
    <col min="7445" max="7680" width="8.88671875" style="32"/>
    <col min="7681" max="7681" width="9.109375" style="32" customWidth="1"/>
    <col min="7682" max="7682" width="14" style="32" customWidth="1"/>
    <col min="7683" max="7683" width="13.6640625" style="32" customWidth="1"/>
    <col min="7684" max="7684" width="12.6640625" style="32" customWidth="1"/>
    <col min="7685" max="7685" width="16.109375" style="32" customWidth="1"/>
    <col min="7686" max="7686" width="7.33203125" style="32" customWidth="1"/>
    <col min="7687" max="7687" width="16.88671875" style="32" customWidth="1"/>
    <col min="7688" max="7688" width="17.6640625" style="32" customWidth="1"/>
    <col min="7689" max="7694" width="9.109375" style="32" customWidth="1"/>
    <col min="7695" max="7696" width="14.88671875" style="32" customWidth="1"/>
    <col min="7697" max="7698" width="16.109375" style="32" customWidth="1"/>
    <col min="7699" max="7699" width="8.88671875" style="32"/>
    <col min="7700" max="7700" width="16.109375" style="32" customWidth="1"/>
    <col min="7701" max="7936" width="8.88671875" style="32"/>
    <col min="7937" max="7937" width="9.109375" style="32" customWidth="1"/>
    <col min="7938" max="7938" width="14" style="32" customWidth="1"/>
    <col min="7939" max="7939" width="13.6640625" style="32" customWidth="1"/>
    <col min="7940" max="7940" width="12.6640625" style="32" customWidth="1"/>
    <col min="7941" max="7941" width="16.109375" style="32" customWidth="1"/>
    <col min="7942" max="7942" width="7.33203125" style="32" customWidth="1"/>
    <col min="7943" max="7943" width="16.88671875" style="32" customWidth="1"/>
    <col min="7944" max="7944" width="17.6640625" style="32" customWidth="1"/>
    <col min="7945" max="7950" width="9.109375" style="32" customWidth="1"/>
    <col min="7951" max="7952" width="14.88671875" style="32" customWidth="1"/>
    <col min="7953" max="7954" width="16.109375" style="32" customWidth="1"/>
    <col min="7955" max="7955" width="8.88671875" style="32"/>
    <col min="7956" max="7956" width="16.109375" style="32" customWidth="1"/>
    <col min="7957" max="8192" width="8.88671875" style="32"/>
    <col min="8193" max="8193" width="9.109375" style="32" customWidth="1"/>
    <col min="8194" max="8194" width="14" style="32" customWidth="1"/>
    <col min="8195" max="8195" width="13.6640625" style="32" customWidth="1"/>
    <col min="8196" max="8196" width="12.6640625" style="32" customWidth="1"/>
    <col min="8197" max="8197" width="16.109375" style="32" customWidth="1"/>
    <col min="8198" max="8198" width="7.33203125" style="32" customWidth="1"/>
    <col min="8199" max="8199" width="16.88671875" style="32" customWidth="1"/>
    <col min="8200" max="8200" width="17.6640625" style="32" customWidth="1"/>
    <col min="8201" max="8206" width="9.109375" style="32" customWidth="1"/>
    <col min="8207" max="8208" width="14.88671875" style="32" customWidth="1"/>
    <col min="8209" max="8210" width="16.109375" style="32" customWidth="1"/>
    <col min="8211" max="8211" width="8.88671875" style="32"/>
    <col min="8212" max="8212" width="16.109375" style="32" customWidth="1"/>
    <col min="8213" max="8448" width="8.88671875" style="32"/>
    <col min="8449" max="8449" width="9.109375" style="32" customWidth="1"/>
    <col min="8450" max="8450" width="14" style="32" customWidth="1"/>
    <col min="8451" max="8451" width="13.6640625" style="32" customWidth="1"/>
    <col min="8452" max="8452" width="12.6640625" style="32" customWidth="1"/>
    <col min="8453" max="8453" width="16.109375" style="32" customWidth="1"/>
    <col min="8454" max="8454" width="7.33203125" style="32" customWidth="1"/>
    <col min="8455" max="8455" width="16.88671875" style="32" customWidth="1"/>
    <col min="8456" max="8456" width="17.6640625" style="32" customWidth="1"/>
    <col min="8457" max="8462" width="9.109375" style="32" customWidth="1"/>
    <col min="8463" max="8464" width="14.88671875" style="32" customWidth="1"/>
    <col min="8465" max="8466" width="16.109375" style="32" customWidth="1"/>
    <col min="8467" max="8467" width="8.88671875" style="32"/>
    <col min="8468" max="8468" width="16.109375" style="32" customWidth="1"/>
    <col min="8469" max="8704" width="8.88671875" style="32"/>
    <col min="8705" max="8705" width="9.109375" style="32" customWidth="1"/>
    <col min="8706" max="8706" width="14" style="32" customWidth="1"/>
    <col min="8707" max="8707" width="13.6640625" style="32" customWidth="1"/>
    <col min="8708" max="8708" width="12.6640625" style="32" customWidth="1"/>
    <col min="8709" max="8709" width="16.109375" style="32" customWidth="1"/>
    <col min="8710" max="8710" width="7.33203125" style="32" customWidth="1"/>
    <col min="8711" max="8711" width="16.88671875" style="32" customWidth="1"/>
    <col min="8712" max="8712" width="17.6640625" style="32" customWidth="1"/>
    <col min="8713" max="8718" width="9.109375" style="32" customWidth="1"/>
    <col min="8719" max="8720" width="14.88671875" style="32" customWidth="1"/>
    <col min="8721" max="8722" width="16.109375" style="32" customWidth="1"/>
    <col min="8723" max="8723" width="8.88671875" style="32"/>
    <col min="8724" max="8724" width="16.109375" style="32" customWidth="1"/>
    <col min="8725" max="8960" width="8.88671875" style="32"/>
    <col min="8961" max="8961" width="9.109375" style="32" customWidth="1"/>
    <col min="8962" max="8962" width="14" style="32" customWidth="1"/>
    <col min="8963" max="8963" width="13.6640625" style="32" customWidth="1"/>
    <col min="8964" max="8964" width="12.6640625" style="32" customWidth="1"/>
    <col min="8965" max="8965" width="16.109375" style="32" customWidth="1"/>
    <col min="8966" max="8966" width="7.33203125" style="32" customWidth="1"/>
    <col min="8967" max="8967" width="16.88671875" style="32" customWidth="1"/>
    <col min="8968" max="8968" width="17.6640625" style="32" customWidth="1"/>
    <col min="8969" max="8974" width="9.109375" style="32" customWidth="1"/>
    <col min="8975" max="8976" width="14.88671875" style="32" customWidth="1"/>
    <col min="8977" max="8978" width="16.109375" style="32" customWidth="1"/>
    <col min="8979" max="8979" width="8.88671875" style="32"/>
    <col min="8980" max="8980" width="16.109375" style="32" customWidth="1"/>
    <col min="8981" max="9216" width="8.88671875" style="32"/>
    <col min="9217" max="9217" width="9.109375" style="32" customWidth="1"/>
    <col min="9218" max="9218" width="14" style="32" customWidth="1"/>
    <col min="9219" max="9219" width="13.6640625" style="32" customWidth="1"/>
    <col min="9220" max="9220" width="12.6640625" style="32" customWidth="1"/>
    <col min="9221" max="9221" width="16.109375" style="32" customWidth="1"/>
    <col min="9222" max="9222" width="7.33203125" style="32" customWidth="1"/>
    <col min="9223" max="9223" width="16.88671875" style="32" customWidth="1"/>
    <col min="9224" max="9224" width="17.6640625" style="32" customWidth="1"/>
    <col min="9225" max="9230" width="9.109375" style="32" customWidth="1"/>
    <col min="9231" max="9232" width="14.88671875" style="32" customWidth="1"/>
    <col min="9233" max="9234" width="16.109375" style="32" customWidth="1"/>
    <col min="9235" max="9235" width="8.88671875" style="32"/>
    <col min="9236" max="9236" width="16.109375" style="32" customWidth="1"/>
    <col min="9237" max="9472" width="8.88671875" style="32"/>
    <col min="9473" max="9473" width="9.109375" style="32" customWidth="1"/>
    <col min="9474" max="9474" width="14" style="32" customWidth="1"/>
    <col min="9475" max="9475" width="13.6640625" style="32" customWidth="1"/>
    <col min="9476" max="9476" width="12.6640625" style="32" customWidth="1"/>
    <col min="9477" max="9477" width="16.109375" style="32" customWidth="1"/>
    <col min="9478" max="9478" width="7.33203125" style="32" customWidth="1"/>
    <col min="9479" max="9479" width="16.88671875" style="32" customWidth="1"/>
    <col min="9480" max="9480" width="17.6640625" style="32" customWidth="1"/>
    <col min="9481" max="9486" width="9.109375" style="32" customWidth="1"/>
    <col min="9487" max="9488" width="14.88671875" style="32" customWidth="1"/>
    <col min="9489" max="9490" width="16.109375" style="32" customWidth="1"/>
    <col min="9491" max="9491" width="8.88671875" style="32"/>
    <col min="9492" max="9492" width="16.109375" style="32" customWidth="1"/>
    <col min="9493" max="9728" width="8.88671875" style="32"/>
    <col min="9729" max="9729" width="9.109375" style="32" customWidth="1"/>
    <col min="9730" max="9730" width="14" style="32" customWidth="1"/>
    <col min="9731" max="9731" width="13.6640625" style="32" customWidth="1"/>
    <col min="9732" max="9732" width="12.6640625" style="32" customWidth="1"/>
    <col min="9733" max="9733" width="16.109375" style="32" customWidth="1"/>
    <col min="9734" max="9734" width="7.33203125" style="32" customWidth="1"/>
    <col min="9735" max="9735" width="16.88671875" style="32" customWidth="1"/>
    <col min="9736" max="9736" width="17.6640625" style="32" customWidth="1"/>
    <col min="9737" max="9742" width="9.109375" style="32" customWidth="1"/>
    <col min="9743" max="9744" width="14.88671875" style="32" customWidth="1"/>
    <col min="9745" max="9746" width="16.109375" style="32" customWidth="1"/>
    <col min="9747" max="9747" width="8.88671875" style="32"/>
    <col min="9748" max="9748" width="16.109375" style="32" customWidth="1"/>
    <col min="9749" max="9984" width="8.88671875" style="32"/>
    <col min="9985" max="9985" width="9.109375" style="32" customWidth="1"/>
    <col min="9986" max="9986" width="14" style="32" customWidth="1"/>
    <col min="9987" max="9987" width="13.6640625" style="32" customWidth="1"/>
    <col min="9988" max="9988" width="12.6640625" style="32" customWidth="1"/>
    <col min="9989" max="9989" width="16.109375" style="32" customWidth="1"/>
    <col min="9990" max="9990" width="7.33203125" style="32" customWidth="1"/>
    <col min="9991" max="9991" width="16.88671875" style="32" customWidth="1"/>
    <col min="9992" max="9992" width="17.6640625" style="32" customWidth="1"/>
    <col min="9993" max="9998" width="9.109375" style="32" customWidth="1"/>
    <col min="9999" max="10000" width="14.88671875" style="32" customWidth="1"/>
    <col min="10001" max="10002" width="16.109375" style="32" customWidth="1"/>
    <col min="10003" max="10003" width="8.88671875" style="32"/>
    <col min="10004" max="10004" width="16.109375" style="32" customWidth="1"/>
    <col min="10005" max="10240" width="8.88671875" style="32"/>
    <col min="10241" max="10241" width="9.109375" style="32" customWidth="1"/>
    <col min="10242" max="10242" width="14" style="32" customWidth="1"/>
    <col min="10243" max="10243" width="13.6640625" style="32" customWidth="1"/>
    <col min="10244" max="10244" width="12.6640625" style="32" customWidth="1"/>
    <col min="10245" max="10245" width="16.109375" style="32" customWidth="1"/>
    <col min="10246" max="10246" width="7.33203125" style="32" customWidth="1"/>
    <col min="10247" max="10247" width="16.88671875" style="32" customWidth="1"/>
    <col min="10248" max="10248" width="17.6640625" style="32" customWidth="1"/>
    <col min="10249" max="10254" width="9.109375" style="32" customWidth="1"/>
    <col min="10255" max="10256" width="14.88671875" style="32" customWidth="1"/>
    <col min="10257" max="10258" width="16.109375" style="32" customWidth="1"/>
    <col min="10259" max="10259" width="8.88671875" style="32"/>
    <col min="10260" max="10260" width="16.109375" style="32" customWidth="1"/>
    <col min="10261" max="10496" width="8.88671875" style="32"/>
    <col min="10497" max="10497" width="9.109375" style="32" customWidth="1"/>
    <col min="10498" max="10498" width="14" style="32" customWidth="1"/>
    <col min="10499" max="10499" width="13.6640625" style="32" customWidth="1"/>
    <col min="10500" max="10500" width="12.6640625" style="32" customWidth="1"/>
    <col min="10501" max="10501" width="16.109375" style="32" customWidth="1"/>
    <col min="10502" max="10502" width="7.33203125" style="32" customWidth="1"/>
    <col min="10503" max="10503" width="16.88671875" style="32" customWidth="1"/>
    <col min="10504" max="10504" width="17.6640625" style="32" customWidth="1"/>
    <col min="10505" max="10510" width="9.109375" style="32" customWidth="1"/>
    <col min="10511" max="10512" width="14.88671875" style="32" customWidth="1"/>
    <col min="10513" max="10514" width="16.109375" style="32" customWidth="1"/>
    <col min="10515" max="10515" width="8.88671875" style="32"/>
    <col min="10516" max="10516" width="16.109375" style="32" customWidth="1"/>
    <col min="10517" max="10752" width="8.88671875" style="32"/>
    <col min="10753" max="10753" width="9.109375" style="32" customWidth="1"/>
    <col min="10754" max="10754" width="14" style="32" customWidth="1"/>
    <col min="10755" max="10755" width="13.6640625" style="32" customWidth="1"/>
    <col min="10756" max="10756" width="12.6640625" style="32" customWidth="1"/>
    <col min="10757" max="10757" width="16.109375" style="32" customWidth="1"/>
    <col min="10758" max="10758" width="7.33203125" style="32" customWidth="1"/>
    <col min="10759" max="10759" width="16.88671875" style="32" customWidth="1"/>
    <col min="10760" max="10760" width="17.6640625" style="32" customWidth="1"/>
    <col min="10761" max="10766" width="9.109375" style="32" customWidth="1"/>
    <col min="10767" max="10768" width="14.88671875" style="32" customWidth="1"/>
    <col min="10769" max="10770" width="16.109375" style="32" customWidth="1"/>
    <col min="10771" max="10771" width="8.88671875" style="32"/>
    <col min="10772" max="10772" width="16.109375" style="32" customWidth="1"/>
    <col min="10773" max="11008" width="8.88671875" style="32"/>
    <col min="11009" max="11009" width="9.109375" style="32" customWidth="1"/>
    <col min="11010" max="11010" width="14" style="32" customWidth="1"/>
    <col min="11011" max="11011" width="13.6640625" style="32" customWidth="1"/>
    <col min="11012" max="11012" width="12.6640625" style="32" customWidth="1"/>
    <col min="11013" max="11013" width="16.109375" style="32" customWidth="1"/>
    <col min="11014" max="11014" width="7.33203125" style="32" customWidth="1"/>
    <col min="11015" max="11015" width="16.88671875" style="32" customWidth="1"/>
    <col min="11016" max="11016" width="17.6640625" style="32" customWidth="1"/>
    <col min="11017" max="11022" width="9.109375" style="32" customWidth="1"/>
    <col min="11023" max="11024" width="14.88671875" style="32" customWidth="1"/>
    <col min="11025" max="11026" width="16.109375" style="32" customWidth="1"/>
    <col min="11027" max="11027" width="8.88671875" style="32"/>
    <col min="11028" max="11028" width="16.109375" style="32" customWidth="1"/>
    <col min="11029" max="11264" width="8.88671875" style="32"/>
    <col min="11265" max="11265" width="9.109375" style="32" customWidth="1"/>
    <col min="11266" max="11266" width="14" style="32" customWidth="1"/>
    <col min="11267" max="11267" width="13.6640625" style="32" customWidth="1"/>
    <col min="11268" max="11268" width="12.6640625" style="32" customWidth="1"/>
    <col min="11269" max="11269" width="16.109375" style="32" customWidth="1"/>
    <col min="11270" max="11270" width="7.33203125" style="32" customWidth="1"/>
    <col min="11271" max="11271" width="16.88671875" style="32" customWidth="1"/>
    <col min="11272" max="11272" width="17.6640625" style="32" customWidth="1"/>
    <col min="11273" max="11278" width="9.109375" style="32" customWidth="1"/>
    <col min="11279" max="11280" width="14.88671875" style="32" customWidth="1"/>
    <col min="11281" max="11282" width="16.109375" style="32" customWidth="1"/>
    <col min="11283" max="11283" width="8.88671875" style="32"/>
    <col min="11284" max="11284" width="16.109375" style="32" customWidth="1"/>
    <col min="11285" max="11520" width="8.88671875" style="32"/>
    <col min="11521" max="11521" width="9.109375" style="32" customWidth="1"/>
    <col min="11522" max="11522" width="14" style="32" customWidth="1"/>
    <col min="11523" max="11523" width="13.6640625" style="32" customWidth="1"/>
    <col min="11524" max="11524" width="12.6640625" style="32" customWidth="1"/>
    <col min="11525" max="11525" width="16.109375" style="32" customWidth="1"/>
    <col min="11526" max="11526" width="7.33203125" style="32" customWidth="1"/>
    <col min="11527" max="11527" width="16.88671875" style="32" customWidth="1"/>
    <col min="11528" max="11528" width="17.6640625" style="32" customWidth="1"/>
    <col min="11529" max="11534" width="9.109375" style="32" customWidth="1"/>
    <col min="11535" max="11536" width="14.88671875" style="32" customWidth="1"/>
    <col min="11537" max="11538" width="16.109375" style="32" customWidth="1"/>
    <col min="11539" max="11539" width="8.88671875" style="32"/>
    <col min="11540" max="11540" width="16.109375" style="32" customWidth="1"/>
    <col min="11541" max="11776" width="8.88671875" style="32"/>
    <col min="11777" max="11777" width="9.109375" style="32" customWidth="1"/>
    <col min="11778" max="11778" width="14" style="32" customWidth="1"/>
    <col min="11779" max="11779" width="13.6640625" style="32" customWidth="1"/>
    <col min="11780" max="11780" width="12.6640625" style="32" customWidth="1"/>
    <col min="11781" max="11781" width="16.109375" style="32" customWidth="1"/>
    <col min="11782" max="11782" width="7.33203125" style="32" customWidth="1"/>
    <col min="11783" max="11783" width="16.88671875" style="32" customWidth="1"/>
    <col min="11784" max="11784" width="17.6640625" style="32" customWidth="1"/>
    <col min="11785" max="11790" width="9.109375" style="32" customWidth="1"/>
    <col min="11791" max="11792" width="14.88671875" style="32" customWidth="1"/>
    <col min="11793" max="11794" width="16.109375" style="32" customWidth="1"/>
    <col min="11795" max="11795" width="8.88671875" style="32"/>
    <col min="11796" max="11796" width="16.109375" style="32" customWidth="1"/>
    <col min="11797" max="12032" width="8.88671875" style="32"/>
    <col min="12033" max="12033" width="9.109375" style="32" customWidth="1"/>
    <col min="12034" max="12034" width="14" style="32" customWidth="1"/>
    <col min="12035" max="12035" width="13.6640625" style="32" customWidth="1"/>
    <col min="12036" max="12036" width="12.6640625" style="32" customWidth="1"/>
    <col min="12037" max="12037" width="16.109375" style="32" customWidth="1"/>
    <col min="12038" max="12038" width="7.33203125" style="32" customWidth="1"/>
    <col min="12039" max="12039" width="16.88671875" style="32" customWidth="1"/>
    <col min="12040" max="12040" width="17.6640625" style="32" customWidth="1"/>
    <col min="12041" max="12046" width="9.109375" style="32" customWidth="1"/>
    <col min="12047" max="12048" width="14.88671875" style="32" customWidth="1"/>
    <col min="12049" max="12050" width="16.109375" style="32" customWidth="1"/>
    <col min="12051" max="12051" width="8.88671875" style="32"/>
    <col min="12052" max="12052" width="16.109375" style="32" customWidth="1"/>
    <col min="12053" max="12288" width="8.88671875" style="32"/>
    <col min="12289" max="12289" width="9.109375" style="32" customWidth="1"/>
    <col min="12290" max="12290" width="14" style="32" customWidth="1"/>
    <col min="12291" max="12291" width="13.6640625" style="32" customWidth="1"/>
    <col min="12292" max="12292" width="12.6640625" style="32" customWidth="1"/>
    <col min="12293" max="12293" width="16.109375" style="32" customWidth="1"/>
    <col min="12294" max="12294" width="7.33203125" style="32" customWidth="1"/>
    <col min="12295" max="12295" width="16.88671875" style="32" customWidth="1"/>
    <col min="12296" max="12296" width="17.6640625" style="32" customWidth="1"/>
    <col min="12297" max="12302" width="9.109375" style="32" customWidth="1"/>
    <col min="12303" max="12304" width="14.88671875" style="32" customWidth="1"/>
    <col min="12305" max="12306" width="16.109375" style="32" customWidth="1"/>
    <col min="12307" max="12307" width="8.88671875" style="32"/>
    <col min="12308" max="12308" width="16.109375" style="32" customWidth="1"/>
    <col min="12309" max="12544" width="8.88671875" style="32"/>
    <col min="12545" max="12545" width="9.109375" style="32" customWidth="1"/>
    <col min="12546" max="12546" width="14" style="32" customWidth="1"/>
    <col min="12547" max="12547" width="13.6640625" style="32" customWidth="1"/>
    <col min="12548" max="12548" width="12.6640625" style="32" customWidth="1"/>
    <col min="12549" max="12549" width="16.109375" style="32" customWidth="1"/>
    <col min="12550" max="12550" width="7.33203125" style="32" customWidth="1"/>
    <col min="12551" max="12551" width="16.88671875" style="32" customWidth="1"/>
    <col min="12552" max="12552" width="17.6640625" style="32" customWidth="1"/>
    <col min="12553" max="12558" width="9.109375" style="32" customWidth="1"/>
    <col min="12559" max="12560" width="14.88671875" style="32" customWidth="1"/>
    <col min="12561" max="12562" width="16.109375" style="32" customWidth="1"/>
    <col min="12563" max="12563" width="8.88671875" style="32"/>
    <col min="12564" max="12564" width="16.109375" style="32" customWidth="1"/>
    <col min="12565" max="12800" width="8.88671875" style="32"/>
    <col min="12801" max="12801" width="9.109375" style="32" customWidth="1"/>
    <col min="12802" max="12802" width="14" style="32" customWidth="1"/>
    <col min="12803" max="12803" width="13.6640625" style="32" customWidth="1"/>
    <col min="12804" max="12804" width="12.6640625" style="32" customWidth="1"/>
    <col min="12805" max="12805" width="16.109375" style="32" customWidth="1"/>
    <col min="12806" max="12806" width="7.33203125" style="32" customWidth="1"/>
    <col min="12807" max="12807" width="16.88671875" style="32" customWidth="1"/>
    <col min="12808" max="12808" width="17.6640625" style="32" customWidth="1"/>
    <col min="12809" max="12814" width="9.109375" style="32" customWidth="1"/>
    <col min="12815" max="12816" width="14.88671875" style="32" customWidth="1"/>
    <col min="12817" max="12818" width="16.109375" style="32" customWidth="1"/>
    <col min="12819" max="12819" width="8.88671875" style="32"/>
    <col min="12820" max="12820" width="16.109375" style="32" customWidth="1"/>
    <col min="12821" max="13056" width="8.88671875" style="32"/>
    <col min="13057" max="13057" width="9.109375" style="32" customWidth="1"/>
    <col min="13058" max="13058" width="14" style="32" customWidth="1"/>
    <col min="13059" max="13059" width="13.6640625" style="32" customWidth="1"/>
    <col min="13060" max="13060" width="12.6640625" style="32" customWidth="1"/>
    <col min="13061" max="13061" width="16.109375" style="32" customWidth="1"/>
    <col min="13062" max="13062" width="7.33203125" style="32" customWidth="1"/>
    <col min="13063" max="13063" width="16.88671875" style="32" customWidth="1"/>
    <col min="13064" max="13064" width="17.6640625" style="32" customWidth="1"/>
    <col min="13065" max="13070" width="9.109375" style="32" customWidth="1"/>
    <col min="13071" max="13072" width="14.88671875" style="32" customWidth="1"/>
    <col min="13073" max="13074" width="16.109375" style="32" customWidth="1"/>
    <col min="13075" max="13075" width="8.88671875" style="32"/>
    <col min="13076" max="13076" width="16.109375" style="32" customWidth="1"/>
    <col min="13077" max="13312" width="8.88671875" style="32"/>
    <col min="13313" max="13313" width="9.109375" style="32" customWidth="1"/>
    <col min="13314" max="13314" width="14" style="32" customWidth="1"/>
    <col min="13315" max="13315" width="13.6640625" style="32" customWidth="1"/>
    <col min="13316" max="13316" width="12.6640625" style="32" customWidth="1"/>
    <col min="13317" max="13317" width="16.109375" style="32" customWidth="1"/>
    <col min="13318" max="13318" width="7.33203125" style="32" customWidth="1"/>
    <col min="13319" max="13319" width="16.88671875" style="32" customWidth="1"/>
    <col min="13320" max="13320" width="17.6640625" style="32" customWidth="1"/>
    <col min="13321" max="13326" width="9.109375" style="32" customWidth="1"/>
    <col min="13327" max="13328" width="14.88671875" style="32" customWidth="1"/>
    <col min="13329" max="13330" width="16.109375" style="32" customWidth="1"/>
    <col min="13331" max="13331" width="8.88671875" style="32"/>
    <col min="13332" max="13332" width="16.109375" style="32" customWidth="1"/>
    <col min="13333" max="13568" width="8.88671875" style="32"/>
    <col min="13569" max="13569" width="9.109375" style="32" customWidth="1"/>
    <col min="13570" max="13570" width="14" style="32" customWidth="1"/>
    <col min="13571" max="13571" width="13.6640625" style="32" customWidth="1"/>
    <col min="13572" max="13572" width="12.6640625" style="32" customWidth="1"/>
    <col min="13573" max="13573" width="16.109375" style="32" customWidth="1"/>
    <col min="13574" max="13574" width="7.33203125" style="32" customWidth="1"/>
    <col min="13575" max="13575" width="16.88671875" style="32" customWidth="1"/>
    <col min="13576" max="13576" width="17.6640625" style="32" customWidth="1"/>
    <col min="13577" max="13582" width="9.109375" style="32" customWidth="1"/>
    <col min="13583" max="13584" width="14.88671875" style="32" customWidth="1"/>
    <col min="13585" max="13586" width="16.109375" style="32" customWidth="1"/>
    <col min="13587" max="13587" width="8.88671875" style="32"/>
    <col min="13588" max="13588" width="16.109375" style="32" customWidth="1"/>
    <col min="13589" max="13824" width="8.88671875" style="32"/>
    <col min="13825" max="13825" width="9.109375" style="32" customWidth="1"/>
    <col min="13826" max="13826" width="14" style="32" customWidth="1"/>
    <col min="13827" max="13827" width="13.6640625" style="32" customWidth="1"/>
    <col min="13828" max="13828" width="12.6640625" style="32" customWidth="1"/>
    <col min="13829" max="13829" width="16.109375" style="32" customWidth="1"/>
    <col min="13830" max="13830" width="7.33203125" style="32" customWidth="1"/>
    <col min="13831" max="13831" width="16.88671875" style="32" customWidth="1"/>
    <col min="13832" max="13832" width="17.6640625" style="32" customWidth="1"/>
    <col min="13833" max="13838" width="9.109375" style="32" customWidth="1"/>
    <col min="13839" max="13840" width="14.88671875" style="32" customWidth="1"/>
    <col min="13841" max="13842" width="16.109375" style="32" customWidth="1"/>
    <col min="13843" max="13843" width="8.88671875" style="32"/>
    <col min="13844" max="13844" width="16.109375" style="32" customWidth="1"/>
    <col min="13845" max="14080" width="8.88671875" style="32"/>
    <col min="14081" max="14081" width="9.109375" style="32" customWidth="1"/>
    <col min="14082" max="14082" width="14" style="32" customWidth="1"/>
    <col min="14083" max="14083" width="13.6640625" style="32" customWidth="1"/>
    <col min="14084" max="14084" width="12.6640625" style="32" customWidth="1"/>
    <col min="14085" max="14085" width="16.109375" style="32" customWidth="1"/>
    <col min="14086" max="14086" width="7.33203125" style="32" customWidth="1"/>
    <col min="14087" max="14087" width="16.88671875" style="32" customWidth="1"/>
    <col min="14088" max="14088" width="17.6640625" style="32" customWidth="1"/>
    <col min="14089" max="14094" width="9.109375" style="32" customWidth="1"/>
    <col min="14095" max="14096" width="14.88671875" style="32" customWidth="1"/>
    <col min="14097" max="14098" width="16.109375" style="32" customWidth="1"/>
    <col min="14099" max="14099" width="8.88671875" style="32"/>
    <col min="14100" max="14100" width="16.109375" style="32" customWidth="1"/>
    <col min="14101" max="14336" width="8.88671875" style="32"/>
    <col min="14337" max="14337" width="9.109375" style="32" customWidth="1"/>
    <col min="14338" max="14338" width="14" style="32" customWidth="1"/>
    <col min="14339" max="14339" width="13.6640625" style="32" customWidth="1"/>
    <col min="14340" max="14340" width="12.6640625" style="32" customWidth="1"/>
    <col min="14341" max="14341" width="16.109375" style="32" customWidth="1"/>
    <col min="14342" max="14342" width="7.33203125" style="32" customWidth="1"/>
    <col min="14343" max="14343" width="16.88671875" style="32" customWidth="1"/>
    <col min="14344" max="14344" width="17.6640625" style="32" customWidth="1"/>
    <col min="14345" max="14350" width="9.109375" style="32" customWidth="1"/>
    <col min="14351" max="14352" width="14.88671875" style="32" customWidth="1"/>
    <col min="14353" max="14354" width="16.109375" style="32" customWidth="1"/>
    <col min="14355" max="14355" width="8.88671875" style="32"/>
    <col min="14356" max="14356" width="16.109375" style="32" customWidth="1"/>
    <col min="14357" max="14592" width="8.88671875" style="32"/>
    <col min="14593" max="14593" width="9.109375" style="32" customWidth="1"/>
    <col min="14594" max="14594" width="14" style="32" customWidth="1"/>
    <col min="14595" max="14595" width="13.6640625" style="32" customWidth="1"/>
    <col min="14596" max="14596" width="12.6640625" style="32" customWidth="1"/>
    <col min="14597" max="14597" width="16.109375" style="32" customWidth="1"/>
    <col min="14598" max="14598" width="7.33203125" style="32" customWidth="1"/>
    <col min="14599" max="14599" width="16.88671875" style="32" customWidth="1"/>
    <col min="14600" max="14600" width="17.6640625" style="32" customWidth="1"/>
    <col min="14601" max="14606" width="9.109375" style="32" customWidth="1"/>
    <col min="14607" max="14608" width="14.88671875" style="32" customWidth="1"/>
    <col min="14609" max="14610" width="16.109375" style="32" customWidth="1"/>
    <col min="14611" max="14611" width="8.88671875" style="32"/>
    <col min="14612" max="14612" width="16.109375" style="32" customWidth="1"/>
    <col min="14613" max="14848" width="8.88671875" style="32"/>
    <col min="14849" max="14849" width="9.109375" style="32" customWidth="1"/>
    <col min="14850" max="14850" width="14" style="32" customWidth="1"/>
    <col min="14851" max="14851" width="13.6640625" style="32" customWidth="1"/>
    <col min="14852" max="14852" width="12.6640625" style="32" customWidth="1"/>
    <col min="14853" max="14853" width="16.109375" style="32" customWidth="1"/>
    <col min="14854" max="14854" width="7.33203125" style="32" customWidth="1"/>
    <col min="14855" max="14855" width="16.88671875" style="32" customWidth="1"/>
    <col min="14856" max="14856" width="17.6640625" style="32" customWidth="1"/>
    <col min="14857" max="14862" width="9.109375" style="32" customWidth="1"/>
    <col min="14863" max="14864" width="14.88671875" style="32" customWidth="1"/>
    <col min="14865" max="14866" width="16.109375" style="32" customWidth="1"/>
    <col min="14867" max="14867" width="8.88671875" style="32"/>
    <col min="14868" max="14868" width="16.109375" style="32" customWidth="1"/>
    <col min="14869" max="15104" width="8.88671875" style="32"/>
    <col min="15105" max="15105" width="9.109375" style="32" customWidth="1"/>
    <col min="15106" max="15106" width="14" style="32" customWidth="1"/>
    <col min="15107" max="15107" width="13.6640625" style="32" customWidth="1"/>
    <col min="15108" max="15108" width="12.6640625" style="32" customWidth="1"/>
    <col min="15109" max="15109" width="16.109375" style="32" customWidth="1"/>
    <col min="15110" max="15110" width="7.33203125" style="32" customWidth="1"/>
    <col min="15111" max="15111" width="16.88671875" style="32" customWidth="1"/>
    <col min="15112" max="15112" width="17.6640625" style="32" customWidth="1"/>
    <col min="15113" max="15118" width="9.109375" style="32" customWidth="1"/>
    <col min="15119" max="15120" width="14.88671875" style="32" customWidth="1"/>
    <col min="15121" max="15122" width="16.109375" style="32" customWidth="1"/>
    <col min="15123" max="15123" width="8.88671875" style="32"/>
    <col min="15124" max="15124" width="16.109375" style="32" customWidth="1"/>
    <col min="15125" max="15360" width="8.88671875" style="32"/>
    <col min="15361" max="15361" width="9.109375" style="32" customWidth="1"/>
    <col min="15362" max="15362" width="14" style="32" customWidth="1"/>
    <col min="15363" max="15363" width="13.6640625" style="32" customWidth="1"/>
    <col min="15364" max="15364" width="12.6640625" style="32" customWidth="1"/>
    <col min="15365" max="15365" width="16.109375" style="32" customWidth="1"/>
    <col min="15366" max="15366" width="7.33203125" style="32" customWidth="1"/>
    <col min="15367" max="15367" width="16.88671875" style="32" customWidth="1"/>
    <col min="15368" max="15368" width="17.6640625" style="32" customWidth="1"/>
    <col min="15369" max="15374" width="9.109375" style="32" customWidth="1"/>
    <col min="15375" max="15376" width="14.88671875" style="32" customWidth="1"/>
    <col min="15377" max="15378" width="16.109375" style="32" customWidth="1"/>
    <col min="15379" max="15379" width="8.88671875" style="32"/>
    <col min="15380" max="15380" width="16.109375" style="32" customWidth="1"/>
    <col min="15381" max="15616" width="8.88671875" style="32"/>
    <col min="15617" max="15617" width="9.109375" style="32" customWidth="1"/>
    <col min="15618" max="15618" width="14" style="32" customWidth="1"/>
    <col min="15619" max="15619" width="13.6640625" style="32" customWidth="1"/>
    <col min="15620" max="15620" width="12.6640625" style="32" customWidth="1"/>
    <col min="15621" max="15621" width="16.109375" style="32" customWidth="1"/>
    <col min="15622" max="15622" width="7.33203125" style="32" customWidth="1"/>
    <col min="15623" max="15623" width="16.88671875" style="32" customWidth="1"/>
    <col min="15624" max="15624" width="17.6640625" style="32" customWidth="1"/>
    <col min="15625" max="15630" width="9.109375" style="32" customWidth="1"/>
    <col min="15631" max="15632" width="14.88671875" style="32" customWidth="1"/>
    <col min="15633" max="15634" width="16.109375" style="32" customWidth="1"/>
    <col min="15635" max="15635" width="8.88671875" style="32"/>
    <col min="15636" max="15636" width="16.109375" style="32" customWidth="1"/>
    <col min="15637" max="15872" width="8.88671875" style="32"/>
    <col min="15873" max="15873" width="9.109375" style="32" customWidth="1"/>
    <col min="15874" max="15874" width="14" style="32" customWidth="1"/>
    <col min="15875" max="15875" width="13.6640625" style="32" customWidth="1"/>
    <col min="15876" max="15876" width="12.6640625" style="32" customWidth="1"/>
    <col min="15877" max="15877" width="16.109375" style="32" customWidth="1"/>
    <col min="15878" max="15878" width="7.33203125" style="32" customWidth="1"/>
    <col min="15879" max="15879" width="16.88671875" style="32" customWidth="1"/>
    <col min="15880" max="15880" width="17.6640625" style="32" customWidth="1"/>
    <col min="15881" max="15886" width="9.109375" style="32" customWidth="1"/>
    <col min="15887" max="15888" width="14.88671875" style="32" customWidth="1"/>
    <col min="15889" max="15890" width="16.109375" style="32" customWidth="1"/>
    <col min="15891" max="15891" width="8.88671875" style="32"/>
    <col min="15892" max="15892" width="16.109375" style="32" customWidth="1"/>
    <col min="15893" max="16128" width="8.88671875" style="32"/>
    <col min="16129" max="16129" width="9.109375" style="32" customWidth="1"/>
    <col min="16130" max="16130" width="14" style="32" customWidth="1"/>
    <col min="16131" max="16131" width="13.6640625" style="32" customWidth="1"/>
    <col min="16132" max="16132" width="12.6640625" style="32" customWidth="1"/>
    <col min="16133" max="16133" width="16.109375" style="32" customWidth="1"/>
    <col min="16134" max="16134" width="7.33203125" style="32" customWidth="1"/>
    <col min="16135" max="16135" width="16.88671875" style="32" customWidth="1"/>
    <col min="16136" max="16136" width="17.6640625" style="32" customWidth="1"/>
    <col min="16137" max="16142" width="9.109375" style="32" customWidth="1"/>
    <col min="16143" max="16144" width="14.88671875" style="32" customWidth="1"/>
    <col min="16145" max="16146" width="16.109375" style="32" customWidth="1"/>
    <col min="16147" max="16147" width="8.88671875" style="32"/>
    <col min="16148" max="16148" width="16.109375" style="32" customWidth="1"/>
    <col min="16149" max="16384" width="8.88671875" style="32"/>
  </cols>
  <sheetData>
    <row r="1" spans="1:26" ht="15.6" x14ac:dyDescent="0.35">
      <c r="A1" s="28" t="s">
        <v>0</v>
      </c>
      <c r="B1" s="28" t="s">
        <v>1</v>
      </c>
      <c r="C1" s="29" t="s">
        <v>2</v>
      </c>
      <c r="D1" s="29" t="s">
        <v>3</v>
      </c>
      <c r="E1" s="29" t="s">
        <v>4</v>
      </c>
      <c r="F1" s="28" t="s">
        <v>668</v>
      </c>
      <c r="G1" s="28" t="s">
        <v>669</v>
      </c>
      <c r="H1" s="28" t="s">
        <v>7</v>
      </c>
      <c r="I1" s="28" t="s">
        <v>8</v>
      </c>
      <c r="J1" s="28" t="s">
        <v>660</v>
      </c>
      <c r="K1" s="28" t="s">
        <v>9</v>
      </c>
      <c r="L1" s="28" t="s">
        <v>666</v>
      </c>
      <c r="M1" s="28" t="s">
        <v>445</v>
      </c>
      <c r="N1" s="30" t="s">
        <v>438</v>
      </c>
      <c r="O1" s="31" t="s">
        <v>670</v>
      </c>
      <c r="P1" s="28" t="s">
        <v>495</v>
      </c>
      <c r="Q1" s="28" t="s">
        <v>672</v>
      </c>
      <c r="R1" s="31" t="s">
        <v>671</v>
      </c>
      <c r="T1" s="31"/>
      <c r="X1" s="33"/>
    </row>
    <row r="2" spans="1:26" x14ac:dyDescent="0.3">
      <c r="A2" s="28"/>
      <c r="B2" s="28"/>
      <c r="C2" s="29"/>
      <c r="D2" s="29"/>
      <c r="E2" s="29"/>
      <c r="F2" s="28"/>
      <c r="G2" s="28"/>
      <c r="H2" s="29"/>
      <c r="I2" s="28"/>
      <c r="J2" s="29"/>
      <c r="K2" s="28"/>
      <c r="L2" s="28"/>
      <c r="M2" s="28"/>
      <c r="N2" s="30"/>
      <c r="O2" s="28"/>
      <c r="P2" s="28"/>
      <c r="Q2" s="32" t="s">
        <v>673</v>
      </c>
      <c r="R2" s="28"/>
    </row>
    <row r="3" spans="1:26" s="10" customFormat="1" x14ac:dyDescent="0.3">
      <c r="A3" s="10" t="s">
        <v>201</v>
      </c>
      <c r="B3" s="10" t="s">
        <v>202</v>
      </c>
      <c r="C3" s="34" t="s">
        <v>658</v>
      </c>
      <c r="D3" s="35">
        <v>42768</v>
      </c>
      <c r="E3" s="34">
        <v>1336</v>
      </c>
      <c r="F3" s="10" t="s">
        <v>203</v>
      </c>
      <c r="G3" s="10" t="s">
        <v>204</v>
      </c>
      <c r="H3" s="10">
        <v>5304028.9400000004</v>
      </c>
      <c r="I3" s="10">
        <v>1657677.2749999999</v>
      </c>
      <c r="J3" s="10">
        <v>11.645</v>
      </c>
      <c r="K3" s="10" t="s">
        <v>205</v>
      </c>
    </row>
    <row r="4" spans="1:26" s="10" customFormat="1" x14ac:dyDescent="0.3">
      <c r="A4" s="10" t="s">
        <v>206</v>
      </c>
      <c r="B4" s="10" t="s">
        <v>202</v>
      </c>
      <c r="C4" s="34" t="s">
        <v>658</v>
      </c>
      <c r="D4" s="35">
        <v>42768</v>
      </c>
      <c r="E4" s="34">
        <v>1336.6</v>
      </c>
      <c r="F4" s="10" t="s">
        <v>207</v>
      </c>
      <c r="G4" s="10" t="s">
        <v>208</v>
      </c>
      <c r="H4" s="10">
        <v>5304029.8490000004</v>
      </c>
      <c r="I4" s="10">
        <v>1657679.7609999999</v>
      </c>
      <c r="J4" s="10">
        <v>11.994</v>
      </c>
      <c r="K4" s="36" t="s">
        <v>11</v>
      </c>
      <c r="L4" s="10" t="s">
        <v>12</v>
      </c>
      <c r="M4" s="10">
        <f>SUM(J4-J$3)</f>
        <v>0.3490000000000002</v>
      </c>
      <c r="N4" s="10">
        <v>1.909</v>
      </c>
      <c r="O4" s="33">
        <f>SUM(M4:N4)-P$4-Q$4</f>
        <v>0.89799999999999991</v>
      </c>
      <c r="P4" s="33">
        <v>1.1000000000000001</v>
      </c>
      <c r="Q4" s="37">
        <v>0.26</v>
      </c>
      <c r="R4" s="33">
        <f>AVERAGE(O4:O23)</f>
        <v>0.9871000000000002</v>
      </c>
      <c r="S4" s="33"/>
      <c r="T4" s="31" t="s">
        <v>674</v>
      </c>
    </row>
    <row r="5" spans="1:26" s="10" customFormat="1" x14ac:dyDescent="0.3">
      <c r="A5" s="10" t="s">
        <v>209</v>
      </c>
      <c r="B5" s="10" t="s">
        <v>202</v>
      </c>
      <c r="C5" s="34" t="s">
        <v>658</v>
      </c>
      <c r="D5" s="35">
        <v>42768</v>
      </c>
      <c r="E5" s="34">
        <v>1337.1999999999998</v>
      </c>
      <c r="F5" s="10" t="s">
        <v>210</v>
      </c>
      <c r="G5" s="10" t="s">
        <v>211</v>
      </c>
      <c r="H5" s="10">
        <v>5304030.7189999996</v>
      </c>
      <c r="I5" s="10">
        <v>1657679.186</v>
      </c>
      <c r="J5" s="10">
        <v>12.055</v>
      </c>
      <c r="K5" s="36" t="s">
        <v>11</v>
      </c>
      <c r="L5" s="10" t="s">
        <v>12</v>
      </c>
      <c r="M5" s="10">
        <f t="shared" ref="M5:M23" si="0">SUM(J5-J$3)</f>
        <v>0.41000000000000014</v>
      </c>
      <c r="N5" s="10">
        <v>1.909</v>
      </c>
      <c r="O5" s="33">
        <f>SUM(M5:N5)-P$4-Q$4</f>
        <v>0.95899999999999985</v>
      </c>
      <c r="P5" s="37"/>
      <c r="Q5" s="37"/>
      <c r="R5" s="33"/>
      <c r="S5" s="33"/>
      <c r="U5" s="10" t="s">
        <v>504</v>
      </c>
      <c r="V5" s="10" t="s">
        <v>498</v>
      </c>
      <c r="W5" s="10" t="s">
        <v>675</v>
      </c>
      <c r="X5" s="10" t="s">
        <v>676</v>
      </c>
    </row>
    <row r="6" spans="1:26" s="10" customFormat="1" x14ac:dyDescent="0.3">
      <c r="A6" s="10" t="s">
        <v>212</v>
      </c>
      <c r="B6" s="10" t="s">
        <v>202</v>
      </c>
      <c r="C6" s="34" t="s">
        <v>658</v>
      </c>
      <c r="D6" s="35">
        <v>42768</v>
      </c>
      <c r="E6" s="34">
        <v>1337.7999999999997</v>
      </c>
      <c r="F6" s="10" t="s">
        <v>213</v>
      </c>
      <c r="G6" s="10" t="s">
        <v>214</v>
      </c>
      <c r="H6" s="10">
        <v>5304019.7319999998</v>
      </c>
      <c r="I6" s="10">
        <v>1657664.0830000001</v>
      </c>
      <c r="J6" s="10">
        <v>12.11</v>
      </c>
      <c r="K6" s="36" t="s">
        <v>11</v>
      </c>
      <c r="L6" s="10" t="s">
        <v>12</v>
      </c>
      <c r="M6" s="10">
        <f t="shared" si="0"/>
        <v>0.46499999999999986</v>
      </c>
      <c r="N6" s="10">
        <v>1.909</v>
      </c>
      <c r="O6" s="33">
        <f>SUM(M6:N6)-P$4-Q$4</f>
        <v>1.0139999999999996</v>
      </c>
      <c r="T6" s="10" t="s">
        <v>503</v>
      </c>
      <c r="U6" s="37">
        <f>AVERAGE(O4:O79)</f>
        <v>0.96705164319248949</v>
      </c>
      <c r="V6" s="37">
        <f>STDEVA(O4:O79)</f>
        <v>8.3873234807670505E-2</v>
      </c>
      <c r="W6" s="37">
        <f>MIN(O4:O79)</f>
        <v>0.70700000000000096</v>
      </c>
      <c r="X6" s="37">
        <f>MAX(O4:O79)</f>
        <v>1.1329999999999993</v>
      </c>
    </row>
    <row r="7" spans="1:26" s="10" customFormat="1" x14ac:dyDescent="0.3">
      <c r="A7" s="10" t="s">
        <v>215</v>
      </c>
      <c r="B7" s="10" t="s">
        <v>202</v>
      </c>
      <c r="C7" s="34" t="s">
        <v>658</v>
      </c>
      <c r="D7" s="35">
        <v>42768</v>
      </c>
      <c r="E7" s="34">
        <v>1338.3999999999996</v>
      </c>
      <c r="F7" s="10" t="s">
        <v>216</v>
      </c>
      <c r="G7" s="10" t="s">
        <v>217</v>
      </c>
      <c r="H7" s="10">
        <v>5304024.9680000003</v>
      </c>
      <c r="I7" s="10">
        <v>1657661.888</v>
      </c>
      <c r="J7" s="10">
        <v>12.089</v>
      </c>
      <c r="K7" s="36" t="s">
        <v>11</v>
      </c>
      <c r="L7" s="10" t="s">
        <v>12</v>
      </c>
      <c r="M7" s="10">
        <f t="shared" si="0"/>
        <v>0.44400000000000084</v>
      </c>
      <c r="N7" s="10">
        <v>1.909</v>
      </c>
      <c r="O7" s="33">
        <f>SUM(M7:N7)-P$4-Q$4</f>
        <v>0.99300000000000055</v>
      </c>
      <c r="T7" s="36" t="s">
        <v>11</v>
      </c>
      <c r="U7" s="37">
        <f>AVERAGE(O4:O43)</f>
        <v>0.95597435897435934</v>
      </c>
      <c r="V7" s="37">
        <f>STDEVA(O4:O43)</f>
        <v>9.1073852963719573E-2</v>
      </c>
      <c r="W7" s="37">
        <f>MIN(O4:O43)</f>
        <v>0.70700000000000096</v>
      </c>
      <c r="X7" s="37">
        <f>MAX(O4:O43)</f>
        <v>1.1329999999999993</v>
      </c>
    </row>
    <row r="8" spans="1:26" s="10" customFormat="1" x14ac:dyDescent="0.3">
      <c r="A8" s="10" t="s">
        <v>218</v>
      </c>
      <c r="B8" s="10" t="s">
        <v>202</v>
      </c>
      <c r="C8" s="34" t="s">
        <v>658</v>
      </c>
      <c r="D8" s="35">
        <v>42768</v>
      </c>
      <c r="E8" s="34">
        <v>1338.9999999999995</v>
      </c>
      <c r="F8" s="10" t="s">
        <v>219</v>
      </c>
      <c r="G8" s="10" t="s">
        <v>220</v>
      </c>
      <c r="H8" s="10">
        <v>5304023.7829999998</v>
      </c>
      <c r="I8" s="10">
        <v>1657662.4240000001</v>
      </c>
      <c r="J8" s="10">
        <v>12.095000000000001</v>
      </c>
      <c r="K8" s="36" t="s">
        <v>11</v>
      </c>
      <c r="L8" s="10" t="s">
        <v>12</v>
      </c>
      <c r="M8" s="10">
        <f t="shared" si="0"/>
        <v>0.45000000000000107</v>
      </c>
      <c r="N8" s="10">
        <v>1.909</v>
      </c>
      <c r="O8" s="33">
        <f>SUM(M8:N8)-P$4-Q$4</f>
        <v>0.99900000000000078</v>
      </c>
      <c r="T8" s="36" t="s">
        <v>13</v>
      </c>
      <c r="U8" s="37">
        <f>AVERAGE(O48:O79)</f>
        <v>0.98055208333333466</v>
      </c>
      <c r="V8" s="37">
        <f>STDEVA(O48:O79)</f>
        <v>7.3314054620098046E-2</v>
      </c>
      <c r="W8" s="37">
        <f>MIN(O48:O79)</f>
        <v>0.78433333333333477</v>
      </c>
      <c r="X8" s="37">
        <f>MAX(O48:O79)</f>
        <v>1.0943333333333354</v>
      </c>
    </row>
    <row r="9" spans="1:26" s="10" customFormat="1" x14ac:dyDescent="0.3">
      <c r="A9" s="10" t="s">
        <v>221</v>
      </c>
      <c r="B9" s="10" t="s">
        <v>202</v>
      </c>
      <c r="C9" s="34" t="s">
        <v>658</v>
      </c>
      <c r="D9" s="35">
        <v>42768</v>
      </c>
      <c r="E9" s="34">
        <v>1339.5999999999995</v>
      </c>
      <c r="F9" s="10" t="s">
        <v>222</v>
      </c>
      <c r="G9" s="10" t="s">
        <v>223</v>
      </c>
      <c r="H9" s="10">
        <v>5304026.2970000003</v>
      </c>
      <c r="I9" s="10">
        <v>1657660.2180000001</v>
      </c>
      <c r="J9" s="10">
        <v>12.125999999999999</v>
      </c>
      <c r="K9" s="36" t="s">
        <v>11</v>
      </c>
      <c r="L9" s="10" t="s">
        <v>12</v>
      </c>
      <c r="M9" s="10">
        <f t="shared" si="0"/>
        <v>0.48099999999999987</v>
      </c>
      <c r="N9" s="10">
        <v>1.909</v>
      </c>
      <c r="O9" s="33">
        <f>SUM(M9:N9)-P$4-Q$4</f>
        <v>1.0299999999999996</v>
      </c>
    </row>
    <row r="10" spans="1:26" s="10" customFormat="1" x14ac:dyDescent="0.3">
      <c r="A10" s="10" t="s">
        <v>224</v>
      </c>
      <c r="B10" s="10" t="s">
        <v>202</v>
      </c>
      <c r="C10" s="34" t="s">
        <v>658</v>
      </c>
      <c r="D10" s="35">
        <v>42768</v>
      </c>
      <c r="E10" s="34">
        <v>1340.1999999999994</v>
      </c>
      <c r="F10" s="10" t="s">
        <v>225</v>
      </c>
      <c r="G10" s="10" t="s">
        <v>226</v>
      </c>
      <c r="H10" s="10">
        <v>5304027.4309999999</v>
      </c>
      <c r="I10" s="10">
        <v>1657658.942</v>
      </c>
      <c r="J10" s="10">
        <v>12.114000000000001</v>
      </c>
      <c r="K10" s="36" t="s">
        <v>11</v>
      </c>
      <c r="L10" s="10" t="s">
        <v>12</v>
      </c>
      <c r="M10" s="10">
        <f t="shared" si="0"/>
        <v>0.46900000000000119</v>
      </c>
      <c r="N10" s="10">
        <v>1.909</v>
      </c>
      <c r="O10" s="33">
        <f>SUM(M10:N10)-P$4-Q$4</f>
        <v>1.0180000000000009</v>
      </c>
    </row>
    <row r="11" spans="1:26" s="10" customFormat="1" x14ac:dyDescent="0.3">
      <c r="A11" s="10" t="s">
        <v>227</v>
      </c>
      <c r="B11" s="10" t="s">
        <v>202</v>
      </c>
      <c r="C11" s="34" t="s">
        <v>658</v>
      </c>
      <c r="D11" s="35">
        <v>42768</v>
      </c>
      <c r="E11" s="34">
        <v>1340.7999999999993</v>
      </c>
      <c r="F11" s="10" t="s">
        <v>228</v>
      </c>
      <c r="G11" s="10" t="s">
        <v>229</v>
      </c>
      <c r="H11" s="10">
        <v>5304028.2120000003</v>
      </c>
      <c r="I11" s="10">
        <v>1657658.584</v>
      </c>
      <c r="J11" s="10">
        <v>12.103</v>
      </c>
      <c r="K11" s="36" t="s">
        <v>11</v>
      </c>
      <c r="L11" s="10" t="s">
        <v>12</v>
      </c>
      <c r="M11" s="10">
        <f t="shared" si="0"/>
        <v>0.45800000000000018</v>
      </c>
      <c r="N11" s="10">
        <v>1.909</v>
      </c>
      <c r="O11" s="33">
        <f>SUM(M11:N11)-P$4-Q$4</f>
        <v>1.0069999999999999</v>
      </c>
    </row>
    <row r="12" spans="1:26" s="10" customFormat="1" x14ac:dyDescent="0.3">
      <c r="A12" s="10" t="s">
        <v>230</v>
      </c>
      <c r="B12" s="10" t="s">
        <v>202</v>
      </c>
      <c r="C12" s="34" t="s">
        <v>658</v>
      </c>
      <c r="D12" s="35">
        <v>42768</v>
      </c>
      <c r="E12" s="34">
        <v>1341.3999999999992</v>
      </c>
      <c r="F12" s="10" t="s">
        <v>231</v>
      </c>
      <c r="G12" s="10" t="s">
        <v>232</v>
      </c>
      <c r="H12" s="10">
        <v>5304028.1490000002</v>
      </c>
      <c r="I12" s="10">
        <v>1657658.27</v>
      </c>
      <c r="J12" s="10">
        <v>12.099</v>
      </c>
      <c r="K12" s="36" t="s">
        <v>11</v>
      </c>
      <c r="L12" s="10" t="s">
        <v>12</v>
      </c>
      <c r="M12" s="10">
        <f t="shared" si="0"/>
        <v>0.45400000000000063</v>
      </c>
      <c r="N12" s="10">
        <v>1.909</v>
      </c>
      <c r="O12" s="33">
        <f>SUM(M12:N12)-P$4-Q$4</f>
        <v>1.0030000000000003</v>
      </c>
    </row>
    <row r="13" spans="1:26" s="10" customFormat="1" x14ac:dyDescent="0.3">
      <c r="A13" s="10" t="s">
        <v>233</v>
      </c>
      <c r="B13" s="10" t="s">
        <v>202</v>
      </c>
      <c r="C13" s="34" t="s">
        <v>658</v>
      </c>
      <c r="D13" s="35">
        <v>42768</v>
      </c>
      <c r="E13" s="34">
        <v>1341.9999999999991</v>
      </c>
      <c r="F13" s="10" t="s">
        <v>234</v>
      </c>
      <c r="G13" s="10" t="s">
        <v>235</v>
      </c>
      <c r="H13" s="10">
        <v>5304025.1720000003</v>
      </c>
      <c r="I13" s="10">
        <v>1657658.8759999999</v>
      </c>
      <c r="J13" s="10">
        <v>12.051</v>
      </c>
      <c r="K13" s="36" t="s">
        <v>11</v>
      </c>
      <c r="L13" s="10" t="s">
        <v>12</v>
      </c>
      <c r="M13" s="10">
        <f t="shared" si="0"/>
        <v>0.40600000000000058</v>
      </c>
      <c r="N13" s="10">
        <v>1.909</v>
      </c>
      <c r="O13" s="33">
        <f>SUM(M13:N13)-P$4-Q$4</f>
        <v>0.95500000000000029</v>
      </c>
    </row>
    <row r="14" spans="1:26" s="10" customFormat="1" x14ac:dyDescent="0.3">
      <c r="A14" s="10" t="s">
        <v>236</v>
      </c>
      <c r="B14" s="10" t="s">
        <v>202</v>
      </c>
      <c r="C14" s="34" t="s">
        <v>658</v>
      </c>
      <c r="D14" s="35">
        <v>42768</v>
      </c>
      <c r="E14" s="34">
        <v>1342.599999999999</v>
      </c>
      <c r="F14" s="10" t="s">
        <v>237</v>
      </c>
      <c r="G14" s="10" t="s">
        <v>238</v>
      </c>
      <c r="H14" s="10">
        <v>5304026.7939999998</v>
      </c>
      <c r="I14" s="10">
        <v>1657655.773</v>
      </c>
      <c r="J14" s="10">
        <v>12.085000000000001</v>
      </c>
      <c r="K14" s="36" t="s">
        <v>11</v>
      </c>
      <c r="L14" s="10" t="s">
        <v>12</v>
      </c>
      <c r="M14" s="10">
        <f t="shared" si="0"/>
        <v>0.44000000000000128</v>
      </c>
      <c r="N14" s="10">
        <v>1.909</v>
      </c>
      <c r="O14" s="33">
        <f>SUM(M14:N14)-P$4-Q$4</f>
        <v>0.98900000000000099</v>
      </c>
      <c r="W14" s="37"/>
      <c r="X14" s="37"/>
      <c r="Y14" s="37"/>
      <c r="Z14" s="37"/>
    </row>
    <row r="15" spans="1:26" s="10" customFormat="1" x14ac:dyDescent="0.3">
      <c r="A15" s="10" t="s">
        <v>239</v>
      </c>
      <c r="B15" s="10" t="s">
        <v>202</v>
      </c>
      <c r="C15" s="34" t="s">
        <v>658</v>
      </c>
      <c r="D15" s="35">
        <v>42768</v>
      </c>
      <c r="E15" s="34">
        <v>1343.1999999999989</v>
      </c>
      <c r="F15" s="10" t="s">
        <v>240</v>
      </c>
      <c r="G15" s="10" t="s">
        <v>241</v>
      </c>
      <c r="H15" s="10">
        <v>5304026.0259999996</v>
      </c>
      <c r="I15" s="10">
        <v>1657650.916</v>
      </c>
      <c r="J15" s="10">
        <v>12.041</v>
      </c>
      <c r="K15" s="36" t="s">
        <v>11</v>
      </c>
      <c r="L15" s="10" t="s">
        <v>12</v>
      </c>
      <c r="M15" s="10">
        <f t="shared" si="0"/>
        <v>0.3960000000000008</v>
      </c>
      <c r="N15" s="10">
        <v>1.909</v>
      </c>
      <c r="O15" s="33">
        <f>SUM(M15:N15)-P$4-Q$4</f>
        <v>0.94500000000000051</v>
      </c>
      <c r="P15" s="37"/>
      <c r="Q15" s="37"/>
      <c r="R15" s="37"/>
      <c r="S15" s="37"/>
      <c r="T15" s="37"/>
      <c r="W15" s="37"/>
      <c r="X15" s="37"/>
      <c r="Y15" s="37"/>
      <c r="Z15" s="37"/>
    </row>
    <row r="16" spans="1:26" s="10" customFormat="1" x14ac:dyDescent="0.3">
      <c r="A16" s="10" t="s">
        <v>242</v>
      </c>
      <c r="B16" s="10" t="s">
        <v>202</v>
      </c>
      <c r="C16" s="34" t="s">
        <v>658</v>
      </c>
      <c r="D16" s="35">
        <v>42768</v>
      </c>
      <c r="E16" s="34">
        <v>1343.7999999999988</v>
      </c>
      <c r="F16" s="10" t="s">
        <v>243</v>
      </c>
      <c r="G16" s="10" t="s">
        <v>244</v>
      </c>
      <c r="H16" s="10">
        <v>5304026.3810000001</v>
      </c>
      <c r="I16" s="10">
        <v>1657649.898</v>
      </c>
      <c r="J16" s="10">
        <v>12.03</v>
      </c>
      <c r="K16" s="36" t="s">
        <v>11</v>
      </c>
      <c r="L16" s="10" t="s">
        <v>12</v>
      </c>
      <c r="M16" s="10">
        <f t="shared" si="0"/>
        <v>0.38499999999999979</v>
      </c>
      <c r="N16" s="10">
        <v>1.909</v>
      </c>
      <c r="O16" s="33">
        <f>SUM(M16:N16)-P$4-Q$4</f>
        <v>0.9339999999999995</v>
      </c>
      <c r="P16" s="37"/>
      <c r="Q16" s="37"/>
      <c r="R16" s="37"/>
      <c r="S16" s="37"/>
      <c r="T16" s="37"/>
      <c r="W16" s="37"/>
      <c r="X16" s="37"/>
      <c r="Y16" s="37"/>
      <c r="Z16" s="37"/>
    </row>
    <row r="17" spans="1:26" s="10" customFormat="1" x14ac:dyDescent="0.3">
      <c r="A17" s="10" t="s">
        <v>245</v>
      </c>
      <c r="B17" s="10" t="s">
        <v>202</v>
      </c>
      <c r="C17" s="34" t="s">
        <v>658</v>
      </c>
      <c r="D17" s="35">
        <v>42768</v>
      </c>
      <c r="E17" s="34">
        <v>1344.3999999999987</v>
      </c>
      <c r="F17" s="10" t="s">
        <v>246</v>
      </c>
      <c r="G17" s="10" t="s">
        <v>247</v>
      </c>
      <c r="H17" s="10">
        <v>5304027.3830000004</v>
      </c>
      <c r="I17" s="10">
        <v>1657649.23</v>
      </c>
      <c r="J17" s="10">
        <v>12.032999999999999</v>
      </c>
      <c r="K17" s="36" t="s">
        <v>11</v>
      </c>
      <c r="L17" s="10" t="s">
        <v>12</v>
      </c>
      <c r="M17" s="10">
        <f t="shared" si="0"/>
        <v>0.3879999999999999</v>
      </c>
      <c r="N17" s="10">
        <v>1.909</v>
      </c>
      <c r="O17" s="33">
        <f>SUM(M17:N17)-P$4-Q$4</f>
        <v>0.93699999999999961</v>
      </c>
      <c r="P17" s="37"/>
      <c r="Q17" s="37"/>
      <c r="R17" s="37"/>
      <c r="S17" s="37"/>
      <c r="T17" s="37"/>
      <c r="W17" s="37"/>
      <c r="X17" s="37"/>
      <c r="Y17" s="37"/>
      <c r="Z17" s="37"/>
    </row>
    <row r="18" spans="1:26" s="10" customFormat="1" x14ac:dyDescent="0.3">
      <c r="A18" s="10" t="s">
        <v>248</v>
      </c>
      <c r="B18" s="10" t="s">
        <v>202</v>
      </c>
      <c r="C18" s="34" t="s">
        <v>658</v>
      </c>
      <c r="D18" s="35">
        <v>42768</v>
      </c>
      <c r="E18" s="34">
        <v>1344.9999999999986</v>
      </c>
      <c r="F18" s="10" t="s">
        <v>249</v>
      </c>
      <c r="G18" s="10" t="s">
        <v>250</v>
      </c>
      <c r="H18" s="10">
        <v>5304030.2429999998</v>
      </c>
      <c r="I18" s="10">
        <v>1657649.46</v>
      </c>
      <c r="J18" s="10">
        <v>12.022</v>
      </c>
      <c r="K18" s="36" t="s">
        <v>11</v>
      </c>
      <c r="L18" s="10" t="s">
        <v>12</v>
      </c>
      <c r="M18" s="10">
        <f t="shared" si="0"/>
        <v>0.37700000000000067</v>
      </c>
      <c r="N18" s="10">
        <v>1.909</v>
      </c>
      <c r="O18" s="33">
        <f>SUM(M18:N18)-P$4-Q$4</f>
        <v>0.92600000000000038</v>
      </c>
      <c r="P18" s="37"/>
      <c r="Q18" s="37"/>
      <c r="R18" s="37"/>
      <c r="S18" s="37"/>
      <c r="T18" s="37"/>
      <c r="W18" s="37"/>
      <c r="X18" s="37"/>
      <c r="Y18" s="37"/>
      <c r="Z18" s="37"/>
    </row>
    <row r="19" spans="1:26" s="10" customFormat="1" x14ac:dyDescent="0.3">
      <c r="A19" s="10" t="s">
        <v>251</v>
      </c>
      <c r="B19" s="10" t="s">
        <v>202</v>
      </c>
      <c r="C19" s="34" t="s">
        <v>658</v>
      </c>
      <c r="D19" s="35">
        <v>42768</v>
      </c>
      <c r="E19" s="34">
        <v>1345.5999999999985</v>
      </c>
      <c r="F19" s="10" t="s">
        <v>252</v>
      </c>
      <c r="G19" s="10" t="s">
        <v>253</v>
      </c>
      <c r="H19" s="10">
        <v>5304030.6950000003</v>
      </c>
      <c r="I19" s="10">
        <v>1657649.798</v>
      </c>
      <c r="J19" s="10">
        <v>11.945</v>
      </c>
      <c r="K19" s="36" t="s">
        <v>11</v>
      </c>
      <c r="L19" s="10" t="s">
        <v>12</v>
      </c>
      <c r="M19" s="10">
        <f t="shared" si="0"/>
        <v>0.30000000000000071</v>
      </c>
      <c r="N19" s="10">
        <v>1.909</v>
      </c>
      <c r="O19" s="33">
        <f>SUM(M19:N19)-P$4-Q$4</f>
        <v>0.84900000000000042</v>
      </c>
      <c r="P19" s="37"/>
      <c r="Q19" s="37"/>
      <c r="R19" s="37"/>
      <c r="S19" s="37"/>
      <c r="T19" s="37"/>
    </row>
    <row r="20" spans="1:26" s="10" customFormat="1" x14ac:dyDescent="0.3">
      <c r="A20" s="10" t="s">
        <v>254</v>
      </c>
      <c r="B20" s="10" t="s">
        <v>202</v>
      </c>
      <c r="C20" s="34" t="s">
        <v>658</v>
      </c>
      <c r="D20" s="35">
        <v>42768</v>
      </c>
      <c r="E20" s="34">
        <v>1346.1999999999985</v>
      </c>
      <c r="F20" s="10" t="s">
        <v>255</v>
      </c>
      <c r="G20" s="10" t="s">
        <v>256</v>
      </c>
      <c r="H20" s="10">
        <v>5304031.99</v>
      </c>
      <c r="I20" s="10">
        <v>1657649.585</v>
      </c>
      <c r="J20" s="10">
        <v>12.22</v>
      </c>
      <c r="K20" s="36" t="s">
        <v>11</v>
      </c>
      <c r="L20" s="10" t="s">
        <v>12</v>
      </c>
      <c r="M20" s="10">
        <f t="shared" si="0"/>
        <v>0.57500000000000107</v>
      </c>
      <c r="N20" s="10">
        <v>1.909</v>
      </c>
      <c r="O20" s="33">
        <f>SUM(M20:N20)-P$4-Q$4</f>
        <v>1.1240000000000008</v>
      </c>
      <c r="P20" s="37"/>
      <c r="Q20" s="37"/>
      <c r="R20" s="37"/>
      <c r="S20" s="37"/>
      <c r="T20" s="37"/>
    </row>
    <row r="21" spans="1:26" s="10" customFormat="1" x14ac:dyDescent="0.3">
      <c r="A21" s="10" t="s">
        <v>257</v>
      </c>
      <c r="B21" s="10" t="s">
        <v>202</v>
      </c>
      <c r="C21" s="34" t="s">
        <v>658</v>
      </c>
      <c r="D21" s="35">
        <v>42768</v>
      </c>
      <c r="E21" s="34">
        <v>1346.7999999999984</v>
      </c>
      <c r="F21" s="10" t="s">
        <v>258</v>
      </c>
      <c r="G21" s="10" t="s">
        <v>259</v>
      </c>
      <c r="H21" s="10">
        <v>5304032.8949999996</v>
      </c>
      <c r="I21" s="10">
        <v>1657648.72</v>
      </c>
      <c r="J21" s="10">
        <v>12.228999999999999</v>
      </c>
      <c r="K21" s="36" t="s">
        <v>11</v>
      </c>
      <c r="L21" s="10" t="s">
        <v>12</v>
      </c>
      <c r="M21" s="10">
        <f t="shared" si="0"/>
        <v>0.58399999999999963</v>
      </c>
      <c r="N21" s="10">
        <v>1.909</v>
      </c>
      <c r="O21" s="33">
        <f>SUM(M21:N21)-P$4-Q$4</f>
        <v>1.1329999999999993</v>
      </c>
      <c r="P21" s="37"/>
      <c r="Q21" s="37"/>
      <c r="R21" s="37"/>
      <c r="S21" s="37"/>
      <c r="T21" s="37"/>
    </row>
    <row r="22" spans="1:26" s="10" customFormat="1" x14ac:dyDescent="0.3">
      <c r="A22" s="10" t="s">
        <v>260</v>
      </c>
      <c r="B22" s="10" t="s">
        <v>202</v>
      </c>
      <c r="C22" s="34" t="s">
        <v>658</v>
      </c>
      <c r="D22" s="35">
        <v>42768</v>
      </c>
      <c r="E22" s="34">
        <v>1347.3999999999983</v>
      </c>
      <c r="F22" s="10" t="s">
        <v>261</v>
      </c>
      <c r="G22" s="10" t="s">
        <v>262</v>
      </c>
      <c r="H22" s="10">
        <v>5304033.1069999998</v>
      </c>
      <c r="I22" s="10">
        <v>1657649.9639999999</v>
      </c>
      <c r="J22" s="10">
        <v>12.129</v>
      </c>
      <c r="K22" s="36" t="s">
        <v>11</v>
      </c>
      <c r="L22" s="10" t="s">
        <v>12</v>
      </c>
      <c r="M22" s="10">
        <f t="shared" si="0"/>
        <v>0.48399999999999999</v>
      </c>
      <c r="N22" s="10">
        <v>1.909</v>
      </c>
      <c r="O22" s="33">
        <f>SUM(M22:N22)-P$4-Q$4</f>
        <v>1.0329999999999997</v>
      </c>
      <c r="P22" s="37"/>
      <c r="Q22" s="37"/>
      <c r="R22" s="37"/>
      <c r="S22" s="37"/>
      <c r="T22" s="37"/>
    </row>
    <row r="23" spans="1:26" s="10" customFormat="1" x14ac:dyDescent="0.3">
      <c r="A23" s="10" t="s">
        <v>263</v>
      </c>
      <c r="B23" s="10" t="s">
        <v>202</v>
      </c>
      <c r="C23" s="34" t="s">
        <v>658</v>
      </c>
      <c r="D23" s="35">
        <v>42768</v>
      </c>
      <c r="E23" s="34">
        <v>1348</v>
      </c>
      <c r="F23" s="10" t="s">
        <v>264</v>
      </c>
      <c r="G23" s="10" t="s">
        <v>265</v>
      </c>
      <c r="H23" s="10">
        <v>5304029.8590000002</v>
      </c>
      <c r="I23" s="10">
        <v>1657648.74</v>
      </c>
      <c r="J23" s="10">
        <v>12.092000000000001</v>
      </c>
      <c r="K23" s="36" t="s">
        <v>11</v>
      </c>
      <c r="L23" s="10" t="s">
        <v>12</v>
      </c>
      <c r="M23" s="10">
        <f t="shared" si="0"/>
        <v>0.44700000000000095</v>
      </c>
      <c r="N23" s="10">
        <v>1.909</v>
      </c>
      <c r="O23" s="33">
        <f>SUM(M23:N23)-P$4-Q$4</f>
        <v>0.99600000000000066</v>
      </c>
      <c r="P23" s="37"/>
      <c r="Q23" s="37"/>
      <c r="R23" s="37"/>
      <c r="S23" s="37"/>
      <c r="T23" s="37"/>
    </row>
    <row r="24" spans="1:26" s="10" customFormat="1" x14ac:dyDescent="0.3">
      <c r="A24" s="10" t="s">
        <v>266</v>
      </c>
      <c r="B24" s="10" t="s">
        <v>202</v>
      </c>
      <c r="C24" s="34" t="s">
        <v>658</v>
      </c>
      <c r="D24" s="35">
        <v>42768</v>
      </c>
      <c r="E24" s="34">
        <v>1357</v>
      </c>
      <c r="F24" s="10" t="s">
        <v>267</v>
      </c>
      <c r="G24" s="10" t="s">
        <v>268</v>
      </c>
      <c r="H24" s="10">
        <v>5304077.58</v>
      </c>
      <c r="I24" s="10">
        <v>1657841.1810000001</v>
      </c>
      <c r="J24" s="10">
        <v>11.529</v>
      </c>
      <c r="K24" s="10" t="s">
        <v>205</v>
      </c>
      <c r="M24" s="37"/>
      <c r="O24" s="37"/>
      <c r="P24" s="37"/>
      <c r="Q24" s="37"/>
      <c r="R24" s="37"/>
      <c r="S24" s="37"/>
      <c r="T24" s="37"/>
    </row>
    <row r="25" spans="1:26" s="10" customFormat="1" x14ac:dyDescent="0.3">
      <c r="A25" s="10" t="s">
        <v>269</v>
      </c>
      <c r="B25" s="10" t="s">
        <v>202</v>
      </c>
      <c r="C25" s="34" t="s">
        <v>658</v>
      </c>
      <c r="D25" s="35">
        <v>42768</v>
      </c>
      <c r="E25" s="34">
        <v>1357.7368421052631</v>
      </c>
      <c r="F25" s="10" t="s">
        <v>270</v>
      </c>
      <c r="G25" s="10" t="s">
        <v>271</v>
      </c>
      <c r="H25" s="10">
        <v>5304077.5020000003</v>
      </c>
      <c r="I25" s="10">
        <v>1657839.737</v>
      </c>
      <c r="J25" s="10">
        <v>12.023999999999999</v>
      </c>
      <c r="K25" s="36" t="s">
        <v>11</v>
      </c>
      <c r="L25" s="10" t="s">
        <v>12</v>
      </c>
      <c r="M25" s="10">
        <f>SUM(J25-J$24)</f>
        <v>0.49499999999999922</v>
      </c>
      <c r="N25" s="10">
        <v>1.8120000000000001</v>
      </c>
      <c r="O25" s="33">
        <f>SUM(M25:N25)-P$25-Q$25</f>
        <v>0.9469999999999994</v>
      </c>
      <c r="P25" s="33">
        <v>1.1000000000000001</v>
      </c>
      <c r="Q25" s="37">
        <v>0.26</v>
      </c>
      <c r="R25" s="33">
        <f>AVERAGE(O25:O43)</f>
        <v>0.9232105263157897</v>
      </c>
      <c r="S25" s="37"/>
      <c r="T25" s="37"/>
    </row>
    <row r="26" spans="1:26" s="10" customFormat="1" x14ac:dyDescent="0.3">
      <c r="A26" s="10" t="s">
        <v>272</v>
      </c>
      <c r="B26" s="10" t="s">
        <v>202</v>
      </c>
      <c r="C26" s="34" t="s">
        <v>658</v>
      </c>
      <c r="D26" s="35">
        <v>42768</v>
      </c>
      <c r="E26" s="34">
        <v>1358.4736842105262</v>
      </c>
      <c r="F26" s="10" t="s">
        <v>273</v>
      </c>
      <c r="G26" s="10" t="s">
        <v>274</v>
      </c>
      <c r="H26" s="10">
        <v>5304077.7860000003</v>
      </c>
      <c r="I26" s="10">
        <v>1657840.7919999999</v>
      </c>
      <c r="J26" s="10">
        <v>11.914</v>
      </c>
      <c r="K26" s="36" t="s">
        <v>11</v>
      </c>
      <c r="L26" s="10" t="s">
        <v>12</v>
      </c>
      <c r="M26" s="10">
        <f t="shared" ref="M26:M43" si="1">SUM(J26-J$24)</f>
        <v>0.38499999999999979</v>
      </c>
      <c r="N26" s="10">
        <v>1.8120000000000001</v>
      </c>
      <c r="O26" s="33">
        <f>SUM(M26:N26)-P$25-Q$25</f>
        <v>0.83699999999999997</v>
      </c>
      <c r="P26" s="37"/>
      <c r="Q26" s="37"/>
      <c r="R26" s="37"/>
      <c r="S26" s="37"/>
      <c r="T26" s="37"/>
    </row>
    <row r="27" spans="1:26" s="10" customFormat="1" x14ac:dyDescent="0.3">
      <c r="A27" s="10" t="s">
        <v>275</v>
      </c>
      <c r="B27" s="10" t="s">
        <v>202</v>
      </c>
      <c r="C27" s="34" t="s">
        <v>658</v>
      </c>
      <c r="D27" s="35">
        <v>42768</v>
      </c>
      <c r="E27" s="34">
        <v>1359.2105263157894</v>
      </c>
      <c r="F27" s="10" t="s">
        <v>276</v>
      </c>
      <c r="G27" s="10" t="s">
        <v>277</v>
      </c>
      <c r="H27" s="10">
        <v>5304078.1260000002</v>
      </c>
      <c r="I27" s="10">
        <v>1657841.723</v>
      </c>
      <c r="J27" s="10">
        <v>11.936999999999999</v>
      </c>
      <c r="K27" s="36" t="s">
        <v>11</v>
      </c>
      <c r="L27" s="10" t="s">
        <v>12</v>
      </c>
      <c r="M27" s="10">
        <f t="shared" si="1"/>
        <v>0.40799999999999947</v>
      </c>
      <c r="N27" s="10">
        <v>1.8120000000000001</v>
      </c>
      <c r="O27" s="33">
        <f>SUM(M27:N27)-P$25-Q$25</f>
        <v>0.85999999999999965</v>
      </c>
      <c r="P27" s="37"/>
      <c r="Q27" s="37"/>
      <c r="R27" s="37"/>
      <c r="S27" s="37"/>
      <c r="T27" s="37"/>
    </row>
    <row r="28" spans="1:26" s="10" customFormat="1" x14ac:dyDescent="0.3">
      <c r="A28" s="10" t="s">
        <v>278</v>
      </c>
      <c r="B28" s="10" t="s">
        <v>202</v>
      </c>
      <c r="C28" s="34" t="s">
        <v>658</v>
      </c>
      <c r="D28" s="35">
        <v>42768</v>
      </c>
      <c r="E28" s="34">
        <v>1359.9473684210525</v>
      </c>
      <c r="F28" s="10" t="s">
        <v>279</v>
      </c>
      <c r="G28" s="10" t="s">
        <v>280</v>
      </c>
      <c r="H28" s="10">
        <v>5304078.4749999996</v>
      </c>
      <c r="I28" s="10">
        <v>1657841.8119999999</v>
      </c>
      <c r="J28" s="10">
        <v>11.903</v>
      </c>
      <c r="K28" s="36" t="s">
        <v>11</v>
      </c>
      <c r="L28" s="10" t="s">
        <v>12</v>
      </c>
      <c r="M28" s="10">
        <f t="shared" si="1"/>
        <v>0.37400000000000055</v>
      </c>
      <c r="N28" s="10">
        <v>1.8120000000000001</v>
      </c>
      <c r="O28" s="33">
        <f>SUM(M28:N28)-P$25-Q$25</f>
        <v>0.82600000000000073</v>
      </c>
      <c r="P28" s="37"/>
      <c r="Q28" s="37"/>
      <c r="R28" s="37"/>
      <c r="S28" s="37"/>
      <c r="T28" s="37"/>
    </row>
    <row r="29" spans="1:26" s="10" customFormat="1" x14ac:dyDescent="0.3">
      <c r="A29" s="10" t="s">
        <v>281</v>
      </c>
      <c r="B29" s="10" t="s">
        <v>202</v>
      </c>
      <c r="C29" s="34" t="s">
        <v>658</v>
      </c>
      <c r="D29" s="35">
        <v>42768</v>
      </c>
      <c r="E29" s="34">
        <v>1400.6868421052632</v>
      </c>
      <c r="F29" s="10" t="s">
        <v>282</v>
      </c>
      <c r="G29" s="10" t="s">
        <v>283</v>
      </c>
      <c r="H29" s="10">
        <v>5304078.5750000002</v>
      </c>
      <c r="I29" s="10">
        <v>1657842.666</v>
      </c>
      <c r="J29" s="10">
        <v>11.784000000000001</v>
      </c>
      <c r="K29" s="36" t="s">
        <v>11</v>
      </c>
      <c r="L29" s="10" t="s">
        <v>12</v>
      </c>
      <c r="M29" s="10">
        <f t="shared" si="1"/>
        <v>0.25500000000000078</v>
      </c>
      <c r="N29" s="10">
        <v>1.8120000000000001</v>
      </c>
      <c r="O29" s="33">
        <f>SUM(M29:N29)-P$25-Q$25</f>
        <v>0.70700000000000096</v>
      </c>
      <c r="P29" s="37"/>
      <c r="Q29" s="37"/>
      <c r="R29" s="37"/>
      <c r="S29" s="37"/>
      <c r="T29" s="37"/>
    </row>
    <row r="30" spans="1:26" s="10" customFormat="1" x14ac:dyDescent="0.3">
      <c r="A30" s="10" t="s">
        <v>284</v>
      </c>
      <c r="B30" s="10" t="s">
        <v>202</v>
      </c>
      <c r="C30" s="34" t="s">
        <v>658</v>
      </c>
      <c r="D30" s="35">
        <v>42768</v>
      </c>
      <c r="E30" s="34">
        <v>1401.4236842105263</v>
      </c>
      <c r="F30" s="10" t="s">
        <v>285</v>
      </c>
      <c r="G30" s="10" t="s">
        <v>286</v>
      </c>
      <c r="H30" s="10">
        <v>5304080.1960000005</v>
      </c>
      <c r="I30" s="10">
        <v>1657844.4410000001</v>
      </c>
      <c r="J30" s="10">
        <v>12.06</v>
      </c>
      <c r="K30" s="36" t="s">
        <v>11</v>
      </c>
      <c r="L30" s="10" t="s">
        <v>12</v>
      </c>
      <c r="M30" s="10">
        <f t="shared" si="1"/>
        <v>0.53100000000000058</v>
      </c>
      <c r="N30" s="10">
        <v>1.8120000000000001</v>
      </c>
      <c r="O30" s="33">
        <f>SUM(M30:N30)-P$25-Q$25</f>
        <v>0.98300000000000076</v>
      </c>
      <c r="P30" s="37"/>
      <c r="Q30" s="37"/>
      <c r="R30" s="37"/>
      <c r="S30" s="37"/>
      <c r="T30" s="37"/>
    </row>
    <row r="31" spans="1:26" s="10" customFormat="1" x14ac:dyDescent="0.3">
      <c r="A31" s="10" t="s">
        <v>287</v>
      </c>
      <c r="B31" s="10" t="s">
        <v>202</v>
      </c>
      <c r="C31" s="34" t="s">
        <v>658</v>
      </c>
      <c r="D31" s="35">
        <v>42768</v>
      </c>
      <c r="E31" s="34">
        <v>1402.1605263157894</v>
      </c>
      <c r="F31" s="10" t="s">
        <v>288</v>
      </c>
      <c r="G31" s="10" t="s">
        <v>289</v>
      </c>
      <c r="H31" s="10">
        <v>5304082.8660000004</v>
      </c>
      <c r="I31" s="10">
        <v>1657847.03</v>
      </c>
      <c r="J31" s="10">
        <v>11.936999999999999</v>
      </c>
      <c r="K31" s="36" t="s">
        <v>11</v>
      </c>
      <c r="L31" s="10" t="s">
        <v>12</v>
      </c>
      <c r="M31" s="10">
        <f t="shared" si="1"/>
        <v>0.40799999999999947</v>
      </c>
      <c r="N31" s="10">
        <v>1.8120000000000001</v>
      </c>
      <c r="O31" s="33">
        <f>SUM(M31:N31)-P$25-Q$25</f>
        <v>0.85999999999999965</v>
      </c>
      <c r="P31" s="37"/>
      <c r="Q31" s="37"/>
      <c r="R31" s="37"/>
      <c r="S31" s="37"/>
      <c r="T31" s="37"/>
    </row>
    <row r="32" spans="1:26" s="10" customFormat="1" x14ac:dyDescent="0.3">
      <c r="A32" s="10" t="s">
        <v>290</v>
      </c>
      <c r="B32" s="10" t="s">
        <v>202</v>
      </c>
      <c r="C32" s="34" t="s">
        <v>658</v>
      </c>
      <c r="D32" s="35">
        <v>42768</v>
      </c>
      <c r="E32" s="34">
        <v>1402.8973684210525</v>
      </c>
      <c r="F32" s="10" t="s">
        <v>291</v>
      </c>
      <c r="G32" s="10" t="s">
        <v>292</v>
      </c>
      <c r="H32" s="10">
        <v>5304082.7070000004</v>
      </c>
      <c r="I32" s="10">
        <v>1657848.8559999999</v>
      </c>
      <c r="J32" s="10">
        <v>12.029</v>
      </c>
      <c r="K32" s="36" t="s">
        <v>11</v>
      </c>
      <c r="L32" s="10" t="s">
        <v>12</v>
      </c>
      <c r="M32" s="10">
        <f t="shared" si="1"/>
        <v>0.5</v>
      </c>
      <c r="N32" s="10">
        <v>1.8120000000000001</v>
      </c>
      <c r="O32" s="33">
        <f>SUM(M32:N32)-P$25-Q$25</f>
        <v>0.95200000000000018</v>
      </c>
      <c r="P32" s="37"/>
      <c r="Q32" s="37"/>
      <c r="R32" s="37"/>
      <c r="S32" s="37"/>
      <c r="T32" s="37"/>
    </row>
    <row r="33" spans="1:21" s="10" customFormat="1" x14ac:dyDescent="0.3">
      <c r="A33" s="10" t="s">
        <v>293</v>
      </c>
      <c r="B33" s="10" t="s">
        <v>202</v>
      </c>
      <c r="C33" s="34" t="s">
        <v>658</v>
      </c>
      <c r="D33" s="35">
        <v>42768</v>
      </c>
      <c r="E33" s="34">
        <v>1403.6342105263157</v>
      </c>
      <c r="F33" s="10" t="s">
        <v>294</v>
      </c>
      <c r="G33" s="10" t="s">
        <v>295</v>
      </c>
      <c r="H33" s="10">
        <v>5304087.1100000003</v>
      </c>
      <c r="I33" s="10">
        <v>1657850.746</v>
      </c>
      <c r="J33" s="10">
        <v>11.989000000000001</v>
      </c>
      <c r="K33" s="36" t="s">
        <v>11</v>
      </c>
      <c r="L33" s="10" t="s">
        <v>12</v>
      </c>
      <c r="M33" s="10">
        <f t="shared" si="1"/>
        <v>0.46000000000000085</v>
      </c>
      <c r="N33" s="10">
        <v>1.8120000000000001</v>
      </c>
      <c r="O33" s="33">
        <f>SUM(M33:N33)-P$25-Q$25</f>
        <v>0.91200000000000103</v>
      </c>
      <c r="P33" s="37"/>
      <c r="Q33" s="37"/>
      <c r="R33" s="37"/>
      <c r="S33" s="37"/>
      <c r="T33" s="37"/>
    </row>
    <row r="34" spans="1:21" s="10" customFormat="1" x14ac:dyDescent="0.3">
      <c r="A34" s="10" t="s">
        <v>296</v>
      </c>
      <c r="B34" s="10" t="s">
        <v>202</v>
      </c>
      <c r="C34" s="34" t="s">
        <v>658</v>
      </c>
      <c r="D34" s="35">
        <v>42768</v>
      </c>
      <c r="E34" s="34">
        <v>1404.3710526315788</v>
      </c>
      <c r="F34" s="10" t="s">
        <v>297</v>
      </c>
      <c r="G34" s="10" t="s">
        <v>298</v>
      </c>
      <c r="H34" s="10">
        <v>5304085.9479999999</v>
      </c>
      <c r="I34" s="10">
        <v>1657853.165</v>
      </c>
      <c r="J34" s="10">
        <v>12.098000000000001</v>
      </c>
      <c r="K34" s="36" t="s">
        <v>11</v>
      </c>
      <c r="L34" s="10" t="s">
        <v>12</v>
      </c>
      <c r="M34" s="10">
        <f t="shared" si="1"/>
        <v>0.56900000000000084</v>
      </c>
      <c r="N34" s="10">
        <v>1.8120000000000001</v>
      </c>
      <c r="O34" s="33">
        <f>SUM(M34:N34)-P$25-Q$25</f>
        <v>1.021000000000001</v>
      </c>
      <c r="P34" s="37"/>
      <c r="Q34" s="37"/>
      <c r="R34" s="37"/>
      <c r="S34" s="37"/>
      <c r="T34" s="37"/>
    </row>
    <row r="35" spans="1:21" s="10" customFormat="1" x14ac:dyDescent="0.3">
      <c r="A35" s="10" t="s">
        <v>299</v>
      </c>
      <c r="B35" s="10" t="s">
        <v>202</v>
      </c>
      <c r="C35" s="34" t="s">
        <v>658</v>
      </c>
      <c r="D35" s="35">
        <v>42768</v>
      </c>
      <c r="E35" s="34">
        <v>1405.1078947368419</v>
      </c>
      <c r="F35" s="10" t="s">
        <v>300</v>
      </c>
      <c r="G35" s="10" t="s">
        <v>301</v>
      </c>
      <c r="H35" s="10">
        <v>5304084.9460000005</v>
      </c>
      <c r="I35" s="10">
        <v>1657852.524</v>
      </c>
      <c r="J35" s="10">
        <v>12.087999999999999</v>
      </c>
      <c r="K35" s="36" t="s">
        <v>11</v>
      </c>
      <c r="L35" s="10" t="s">
        <v>12</v>
      </c>
      <c r="M35" s="10">
        <f t="shared" si="1"/>
        <v>0.55899999999999928</v>
      </c>
      <c r="N35" s="10">
        <v>1.8120000000000001</v>
      </c>
      <c r="O35" s="33">
        <f>SUM(M35:N35)-P$25-Q$25</f>
        <v>1.0109999999999995</v>
      </c>
      <c r="P35" s="37"/>
      <c r="Q35" s="37"/>
      <c r="R35" s="37"/>
      <c r="S35" s="37"/>
      <c r="T35" s="37"/>
    </row>
    <row r="36" spans="1:21" s="10" customFormat="1" x14ac:dyDescent="0.3">
      <c r="A36" s="10" t="s">
        <v>302</v>
      </c>
      <c r="B36" s="10" t="s">
        <v>202</v>
      </c>
      <c r="C36" s="34" t="s">
        <v>658</v>
      </c>
      <c r="D36" s="35">
        <v>42768</v>
      </c>
      <c r="E36" s="34">
        <v>1405.844736842105</v>
      </c>
      <c r="F36" s="10" t="s">
        <v>303</v>
      </c>
      <c r="G36" s="10" t="s">
        <v>304</v>
      </c>
      <c r="H36" s="10">
        <v>5304088.2209999999</v>
      </c>
      <c r="I36" s="10">
        <v>1657856.551</v>
      </c>
      <c r="J36" s="10">
        <v>12.198</v>
      </c>
      <c r="K36" s="36" t="s">
        <v>11</v>
      </c>
      <c r="L36" s="10" t="s">
        <v>12</v>
      </c>
      <c r="M36" s="10">
        <f t="shared" si="1"/>
        <v>0.66900000000000048</v>
      </c>
      <c r="N36" s="10">
        <v>1.8120000000000001</v>
      </c>
      <c r="O36" s="33">
        <f>SUM(M36:N36)-P$25-Q$25</f>
        <v>1.1210000000000007</v>
      </c>
      <c r="P36" s="37"/>
      <c r="Q36" s="37"/>
      <c r="R36" s="37"/>
      <c r="S36" s="37"/>
      <c r="T36" s="37"/>
    </row>
    <row r="37" spans="1:21" s="10" customFormat="1" x14ac:dyDescent="0.3">
      <c r="A37" s="10" t="s">
        <v>305</v>
      </c>
      <c r="B37" s="10" t="s">
        <v>202</v>
      </c>
      <c r="C37" s="34" t="s">
        <v>658</v>
      </c>
      <c r="D37" s="35">
        <v>42768</v>
      </c>
      <c r="E37" s="34">
        <v>1406.5815789473681</v>
      </c>
      <c r="F37" s="10" t="s">
        <v>306</v>
      </c>
      <c r="G37" s="10" t="s">
        <v>307</v>
      </c>
      <c r="H37" s="10">
        <v>5304088.6370000001</v>
      </c>
      <c r="I37" s="10">
        <v>1657857.3859999999</v>
      </c>
      <c r="J37" s="10">
        <v>12.129</v>
      </c>
      <c r="K37" s="36" t="s">
        <v>11</v>
      </c>
      <c r="L37" s="10" t="s">
        <v>12</v>
      </c>
      <c r="M37" s="10">
        <f t="shared" si="1"/>
        <v>0.59999999999999964</v>
      </c>
      <c r="N37" s="10">
        <v>1.8120000000000001</v>
      </c>
      <c r="O37" s="33">
        <f>SUM(M37:N37)-P$25-Q$25</f>
        <v>1.0519999999999998</v>
      </c>
      <c r="P37" s="37"/>
      <c r="Q37" s="37"/>
      <c r="R37" s="37"/>
      <c r="S37" s="37"/>
      <c r="T37" s="37"/>
    </row>
    <row r="38" spans="1:21" s="10" customFormat="1" x14ac:dyDescent="0.3">
      <c r="A38" s="10" t="s">
        <v>308</v>
      </c>
      <c r="B38" s="10" t="s">
        <v>202</v>
      </c>
      <c r="C38" s="34" t="s">
        <v>658</v>
      </c>
      <c r="D38" s="35">
        <v>42768</v>
      </c>
      <c r="E38" s="34">
        <v>1407.3184210526313</v>
      </c>
      <c r="F38" s="10" t="s">
        <v>309</v>
      </c>
      <c r="G38" s="10" t="s">
        <v>310</v>
      </c>
      <c r="H38" s="10">
        <v>5304089.43</v>
      </c>
      <c r="I38" s="10">
        <v>1657857.129</v>
      </c>
      <c r="J38" s="10">
        <v>12.132</v>
      </c>
      <c r="K38" s="36" t="s">
        <v>11</v>
      </c>
      <c r="L38" s="10" t="s">
        <v>12</v>
      </c>
      <c r="M38" s="10">
        <f t="shared" si="1"/>
        <v>0.60299999999999976</v>
      </c>
      <c r="N38" s="10">
        <v>1.8120000000000001</v>
      </c>
      <c r="O38" s="33">
        <f>SUM(M38:N38)-P$25-Q$25</f>
        <v>1.0549999999999999</v>
      </c>
      <c r="P38" s="37"/>
      <c r="Q38" s="37"/>
      <c r="R38" s="37"/>
      <c r="S38" s="37"/>
      <c r="T38" s="37"/>
    </row>
    <row r="39" spans="1:21" s="10" customFormat="1" x14ac:dyDescent="0.3">
      <c r="A39" s="10" t="s">
        <v>311</v>
      </c>
      <c r="B39" s="10" t="s">
        <v>202</v>
      </c>
      <c r="C39" s="34" t="s">
        <v>658</v>
      </c>
      <c r="D39" s="35">
        <v>42768</v>
      </c>
      <c r="E39" s="34">
        <v>1408.0552631578944</v>
      </c>
      <c r="F39" s="10" t="s">
        <v>312</v>
      </c>
      <c r="G39" s="10" t="s">
        <v>313</v>
      </c>
      <c r="H39" s="10">
        <v>5304090.7130000005</v>
      </c>
      <c r="I39" s="10">
        <v>1657855.987</v>
      </c>
      <c r="J39" s="10">
        <v>11.999000000000001</v>
      </c>
      <c r="K39" s="36" t="s">
        <v>11</v>
      </c>
      <c r="L39" s="10" t="s">
        <v>12</v>
      </c>
      <c r="M39" s="10">
        <f t="shared" si="1"/>
        <v>0.47000000000000064</v>
      </c>
      <c r="N39" s="10">
        <v>1.8120000000000001</v>
      </c>
      <c r="O39" s="33">
        <f>SUM(M39:N39)-P$25-Q$25</f>
        <v>0.92200000000000082</v>
      </c>
      <c r="P39" s="37"/>
      <c r="Q39" s="37"/>
      <c r="R39" s="37"/>
      <c r="S39" s="37"/>
      <c r="T39" s="37"/>
    </row>
    <row r="40" spans="1:21" s="10" customFormat="1" x14ac:dyDescent="0.3">
      <c r="A40" s="10" t="s">
        <v>314</v>
      </c>
      <c r="B40" s="10" t="s">
        <v>202</v>
      </c>
      <c r="C40" s="34" t="s">
        <v>658</v>
      </c>
      <c r="D40" s="35">
        <v>42768</v>
      </c>
      <c r="E40" s="34">
        <v>1408.7921052631575</v>
      </c>
      <c r="F40" s="10" t="s">
        <v>315</v>
      </c>
      <c r="G40" s="10" t="s">
        <v>316</v>
      </c>
      <c r="H40" s="10">
        <v>5304093.5959999999</v>
      </c>
      <c r="I40" s="10">
        <v>1657856.6510000001</v>
      </c>
      <c r="J40" s="10">
        <v>11.952</v>
      </c>
      <c r="K40" s="36" t="s">
        <v>11</v>
      </c>
      <c r="L40" s="10" t="s">
        <v>12</v>
      </c>
      <c r="M40" s="10">
        <f t="shared" si="1"/>
        <v>0.42300000000000004</v>
      </c>
      <c r="N40" s="10">
        <v>1.8120000000000001</v>
      </c>
      <c r="O40" s="33">
        <f>SUM(M40:N40)-P$25-Q$25</f>
        <v>0.87500000000000022</v>
      </c>
      <c r="P40" s="37"/>
      <c r="Q40" s="37"/>
      <c r="R40" s="37"/>
      <c r="S40" s="37"/>
      <c r="T40" s="37"/>
    </row>
    <row r="41" spans="1:21" s="10" customFormat="1" x14ac:dyDescent="0.3">
      <c r="A41" s="10" t="s">
        <v>317</v>
      </c>
      <c r="B41" s="10" t="s">
        <v>202</v>
      </c>
      <c r="C41" s="34" t="s">
        <v>658</v>
      </c>
      <c r="D41" s="35">
        <v>42768</v>
      </c>
      <c r="E41" s="34">
        <v>1409.5289473684206</v>
      </c>
      <c r="F41" s="10" t="s">
        <v>318</v>
      </c>
      <c r="G41" s="10" t="s">
        <v>319</v>
      </c>
      <c r="H41" s="10">
        <v>5304093.6040000003</v>
      </c>
      <c r="I41" s="10">
        <v>1657861.4709999999</v>
      </c>
      <c r="J41" s="10">
        <v>12.025</v>
      </c>
      <c r="K41" s="36" t="s">
        <v>11</v>
      </c>
      <c r="L41" s="10" t="s">
        <v>12</v>
      </c>
      <c r="M41" s="10">
        <f t="shared" si="1"/>
        <v>0.49600000000000044</v>
      </c>
      <c r="N41" s="10">
        <v>1.8120000000000001</v>
      </c>
      <c r="O41" s="33">
        <f>SUM(M41:N41)-P$25-Q$25</f>
        <v>0.94800000000000062</v>
      </c>
      <c r="P41" s="37"/>
      <c r="Q41" s="37"/>
      <c r="R41" s="37"/>
      <c r="S41" s="37"/>
      <c r="T41" s="37"/>
    </row>
    <row r="42" spans="1:21" s="10" customFormat="1" x14ac:dyDescent="0.3">
      <c r="A42" s="10" t="s">
        <v>320</v>
      </c>
      <c r="B42" s="10" t="s">
        <v>202</v>
      </c>
      <c r="C42" s="34" t="s">
        <v>658</v>
      </c>
      <c r="D42" s="35">
        <v>42768</v>
      </c>
      <c r="E42" s="34">
        <v>1410.2657894736838</v>
      </c>
      <c r="F42" s="10" t="s">
        <v>321</v>
      </c>
      <c r="G42" s="10" t="s">
        <v>322</v>
      </c>
      <c r="H42" s="10">
        <v>5304103.7649999997</v>
      </c>
      <c r="I42" s="10">
        <v>1657859.956</v>
      </c>
      <c r="J42" s="10">
        <v>11.891</v>
      </c>
      <c r="K42" s="36" t="s">
        <v>11</v>
      </c>
      <c r="L42" s="10" t="s">
        <v>12</v>
      </c>
      <c r="M42" s="10">
        <f t="shared" si="1"/>
        <v>0.3620000000000001</v>
      </c>
      <c r="N42" s="10">
        <v>1.8120000000000001</v>
      </c>
      <c r="O42" s="33">
        <f>SUM(M42:N42)-P$25-Q$25</f>
        <v>0.81400000000000028</v>
      </c>
      <c r="P42" s="37"/>
      <c r="Q42" s="37"/>
      <c r="R42" s="37"/>
      <c r="S42" s="37"/>
      <c r="T42" s="37"/>
    </row>
    <row r="43" spans="1:21" s="10" customFormat="1" x14ac:dyDescent="0.3">
      <c r="A43" s="10" t="s">
        <v>323</v>
      </c>
      <c r="B43" s="10" t="s">
        <v>202</v>
      </c>
      <c r="C43" s="34" t="s">
        <v>658</v>
      </c>
      <c r="D43" s="35">
        <v>42768</v>
      </c>
      <c r="E43" s="34">
        <v>1411</v>
      </c>
      <c r="F43" s="10" t="s">
        <v>324</v>
      </c>
      <c r="G43" s="10" t="s">
        <v>325</v>
      </c>
      <c r="H43" s="10">
        <v>5304102.5080000004</v>
      </c>
      <c r="I43" s="10">
        <v>1657860.801</v>
      </c>
      <c r="J43" s="10">
        <v>11.914999999999999</v>
      </c>
      <c r="K43" s="36" t="s">
        <v>11</v>
      </c>
      <c r="L43" s="10" t="s">
        <v>12</v>
      </c>
      <c r="M43" s="10">
        <f t="shared" si="1"/>
        <v>0.38599999999999923</v>
      </c>
      <c r="N43" s="10">
        <v>1.8120000000000001</v>
      </c>
      <c r="O43" s="33">
        <f>SUM(M43:N43)-P$25-Q$25</f>
        <v>0.83799999999999941</v>
      </c>
      <c r="P43" s="37"/>
      <c r="Q43" s="37"/>
      <c r="R43" s="37"/>
      <c r="S43" s="37"/>
      <c r="T43" s="37"/>
    </row>
    <row r="44" spans="1:21" s="10" customFormat="1" x14ac:dyDescent="0.3">
      <c r="A44" s="10" t="s">
        <v>198</v>
      </c>
      <c r="B44" s="10" t="s">
        <v>202</v>
      </c>
      <c r="C44" s="34" t="s">
        <v>659</v>
      </c>
      <c r="D44" s="35">
        <v>42774</v>
      </c>
      <c r="E44" s="34">
        <v>2000</v>
      </c>
      <c r="F44" s="10" t="s">
        <v>326</v>
      </c>
      <c r="G44" s="10" t="s">
        <v>327</v>
      </c>
      <c r="H44" s="10">
        <v>5304095.1390000004</v>
      </c>
      <c r="I44" s="10">
        <v>1657797.38</v>
      </c>
      <c r="J44" s="10">
        <v>11.106</v>
      </c>
      <c r="K44" s="10" t="s">
        <v>205</v>
      </c>
      <c r="M44" s="37"/>
      <c r="O44" s="37"/>
      <c r="P44" s="37"/>
      <c r="Q44" s="37"/>
      <c r="R44" s="37"/>
      <c r="S44" s="37"/>
      <c r="T44" s="37"/>
    </row>
    <row r="45" spans="1:21" s="10" customFormat="1" x14ac:dyDescent="0.3">
      <c r="A45" s="10" t="s">
        <v>199</v>
      </c>
      <c r="B45" s="10" t="s">
        <v>202</v>
      </c>
      <c r="C45" s="34" t="s">
        <v>659</v>
      </c>
      <c r="D45" s="35">
        <v>42774</v>
      </c>
      <c r="E45" s="34">
        <v>2000</v>
      </c>
      <c r="F45" s="10" t="s">
        <v>328</v>
      </c>
      <c r="G45" s="10" t="s">
        <v>329</v>
      </c>
      <c r="H45" s="10">
        <v>5304095.4740000004</v>
      </c>
      <c r="I45" s="10">
        <v>1657796.959</v>
      </c>
      <c r="J45" s="10">
        <v>11.11</v>
      </c>
      <c r="K45" s="10" t="s">
        <v>205</v>
      </c>
      <c r="M45" s="37"/>
      <c r="O45" s="37"/>
      <c r="P45" s="37"/>
      <c r="Q45" s="37"/>
      <c r="R45" s="37"/>
      <c r="S45" s="37"/>
      <c r="T45" s="37"/>
    </row>
    <row r="46" spans="1:21" s="10" customFormat="1" x14ac:dyDescent="0.3">
      <c r="A46" s="10" t="s">
        <v>200</v>
      </c>
      <c r="B46" s="10" t="s">
        <v>202</v>
      </c>
      <c r="C46" s="34" t="s">
        <v>659</v>
      </c>
      <c r="D46" s="35">
        <v>42774</v>
      </c>
      <c r="E46" s="34">
        <v>2000</v>
      </c>
      <c r="F46" s="10" t="s">
        <v>330</v>
      </c>
      <c r="G46" s="10" t="s">
        <v>331</v>
      </c>
      <c r="H46" s="10">
        <v>5304095.93</v>
      </c>
      <c r="I46" s="10">
        <v>1657796.8259999999</v>
      </c>
      <c r="J46" s="10">
        <v>11.055999999999999</v>
      </c>
      <c r="K46" s="10" t="s">
        <v>205</v>
      </c>
      <c r="O46" s="37"/>
      <c r="P46" s="37"/>
      <c r="Q46" s="37"/>
      <c r="R46" s="37"/>
      <c r="S46" s="37"/>
      <c r="T46" s="37"/>
    </row>
    <row r="47" spans="1:21" s="10" customFormat="1" x14ac:dyDescent="0.3">
      <c r="C47" s="38"/>
      <c r="D47" s="35"/>
      <c r="E47" s="38"/>
      <c r="I47" s="10" t="s">
        <v>502</v>
      </c>
      <c r="J47" s="37">
        <f>AVERAGE(J44:J46)</f>
        <v>11.090666666666666</v>
      </c>
      <c r="M47" s="37"/>
      <c r="O47" s="37"/>
      <c r="P47" s="37"/>
      <c r="Q47" s="37"/>
      <c r="R47" s="37"/>
      <c r="S47" s="37"/>
      <c r="T47" s="37"/>
    </row>
    <row r="48" spans="1:21" s="10" customFormat="1" x14ac:dyDescent="0.3">
      <c r="A48" s="10" t="s">
        <v>332</v>
      </c>
      <c r="B48" s="10" t="s">
        <v>202</v>
      </c>
      <c r="C48" s="34" t="s">
        <v>659</v>
      </c>
      <c r="D48" s="35">
        <v>42774</v>
      </c>
      <c r="E48" s="39">
        <v>0.8340277777777777</v>
      </c>
      <c r="F48" s="10" t="s">
        <v>333</v>
      </c>
      <c r="G48" s="10" t="s">
        <v>334</v>
      </c>
      <c r="H48" s="10">
        <v>5304094.5559999999</v>
      </c>
      <c r="I48" s="10">
        <v>1657795.3049999999</v>
      </c>
      <c r="J48" s="10">
        <v>12.298</v>
      </c>
      <c r="K48" s="36" t="s">
        <v>13</v>
      </c>
      <c r="L48" s="10" t="s">
        <v>12</v>
      </c>
      <c r="M48" s="37">
        <f>SUM(J48-J$47)</f>
        <v>1.2073333333333345</v>
      </c>
      <c r="N48" s="10">
        <v>1.32</v>
      </c>
      <c r="O48" s="33">
        <f>SUM(M48:N48)-P$48-Q$48</f>
        <v>1.0473333333333348</v>
      </c>
      <c r="P48" s="33">
        <v>1.1000000000000001</v>
      </c>
      <c r="Q48" s="37">
        <v>0.38</v>
      </c>
      <c r="R48" s="33">
        <f>AVERAGE(O48:O79)</f>
        <v>0.98055208333333466</v>
      </c>
      <c r="S48" s="33"/>
      <c r="T48" s="33"/>
      <c r="U48" s="33"/>
    </row>
    <row r="49" spans="1:20" s="10" customFormat="1" x14ac:dyDescent="0.3">
      <c r="A49" s="10" t="s">
        <v>335</v>
      </c>
      <c r="B49" s="10" t="s">
        <v>202</v>
      </c>
      <c r="C49" s="34" t="s">
        <v>659</v>
      </c>
      <c r="D49" s="35">
        <v>42774</v>
      </c>
      <c r="E49" s="39">
        <v>0.8340277777777777</v>
      </c>
      <c r="F49" s="10" t="s">
        <v>336</v>
      </c>
      <c r="G49" s="10" t="s">
        <v>337</v>
      </c>
      <c r="H49" s="10">
        <v>5304092.5410000002</v>
      </c>
      <c r="I49" s="10">
        <v>1657796.2849999999</v>
      </c>
      <c r="J49" s="10">
        <v>12.194000000000001</v>
      </c>
      <c r="K49" s="36" t="s">
        <v>13</v>
      </c>
      <c r="L49" s="10" t="s">
        <v>12</v>
      </c>
      <c r="M49" s="37">
        <f t="shared" ref="M49:M79" si="2">SUM(J49-J$47)</f>
        <v>1.1033333333333353</v>
      </c>
      <c r="N49" s="10">
        <v>1.32</v>
      </c>
      <c r="O49" s="33">
        <f>SUM(M49:N49)-P$48-Q$48</f>
        <v>0.94333333333333547</v>
      </c>
      <c r="P49" s="37"/>
      <c r="Q49" s="37"/>
      <c r="R49" s="37"/>
      <c r="S49" s="37"/>
      <c r="T49" s="37"/>
    </row>
    <row r="50" spans="1:20" s="10" customFormat="1" x14ac:dyDescent="0.3">
      <c r="A50" s="10" t="s">
        <v>338</v>
      </c>
      <c r="B50" s="10" t="s">
        <v>202</v>
      </c>
      <c r="C50" s="34" t="s">
        <v>659</v>
      </c>
      <c r="D50" s="35">
        <v>42774</v>
      </c>
      <c r="E50" s="39">
        <v>0.83472222222222225</v>
      </c>
      <c r="F50" s="10" t="s">
        <v>339</v>
      </c>
      <c r="G50" s="10" t="s">
        <v>340</v>
      </c>
      <c r="H50" s="10">
        <v>5304092.1140000001</v>
      </c>
      <c r="I50" s="10">
        <v>1657798.1939999999</v>
      </c>
      <c r="J50" s="10">
        <v>12.035</v>
      </c>
      <c r="K50" s="36" t="s">
        <v>13</v>
      </c>
      <c r="L50" s="10" t="s">
        <v>12</v>
      </c>
      <c r="M50" s="37">
        <f t="shared" si="2"/>
        <v>0.94433333333333458</v>
      </c>
      <c r="N50" s="10">
        <v>1.32</v>
      </c>
      <c r="O50" s="33">
        <f>SUM(M50:N50)-P$48-Q$48</f>
        <v>0.78433333333333477</v>
      </c>
      <c r="P50" s="37"/>
      <c r="Q50" s="37"/>
      <c r="R50" s="37"/>
      <c r="S50" s="37"/>
      <c r="T50" s="37"/>
    </row>
    <row r="51" spans="1:20" s="10" customFormat="1" x14ac:dyDescent="0.3">
      <c r="A51" s="10" t="s">
        <v>341</v>
      </c>
      <c r="B51" s="10" t="s">
        <v>202</v>
      </c>
      <c r="C51" s="34" t="s">
        <v>659</v>
      </c>
      <c r="D51" s="35">
        <v>42774</v>
      </c>
      <c r="E51" s="39">
        <v>0.83472222222222225</v>
      </c>
      <c r="F51" s="10" t="s">
        <v>342</v>
      </c>
      <c r="G51" s="10" t="s">
        <v>343</v>
      </c>
      <c r="H51" s="10">
        <v>5304092.4239999996</v>
      </c>
      <c r="I51" s="10">
        <v>1657800.977</v>
      </c>
      <c r="J51" s="10">
        <v>12.291</v>
      </c>
      <c r="K51" s="36" t="s">
        <v>13</v>
      </c>
      <c r="L51" s="10" t="s">
        <v>12</v>
      </c>
      <c r="M51" s="37">
        <f t="shared" si="2"/>
        <v>1.2003333333333348</v>
      </c>
      <c r="N51" s="10">
        <v>1.32</v>
      </c>
      <c r="O51" s="33">
        <f>SUM(M51:N51)-P$48-Q$48</f>
        <v>1.0403333333333351</v>
      </c>
      <c r="P51" s="37"/>
      <c r="Q51" s="37"/>
      <c r="R51" s="37"/>
      <c r="S51" s="37"/>
      <c r="T51" s="37"/>
    </row>
    <row r="52" spans="1:20" s="10" customFormat="1" x14ac:dyDescent="0.3">
      <c r="A52" s="10" t="s">
        <v>344</v>
      </c>
      <c r="B52" s="10" t="s">
        <v>202</v>
      </c>
      <c r="C52" s="34" t="s">
        <v>659</v>
      </c>
      <c r="D52" s="35">
        <v>42774</v>
      </c>
      <c r="E52" s="39">
        <v>0.83472222222222225</v>
      </c>
      <c r="F52" s="10" t="s">
        <v>345</v>
      </c>
      <c r="G52" s="10" t="s">
        <v>346</v>
      </c>
      <c r="H52" s="10">
        <v>5304086.6739999996</v>
      </c>
      <c r="I52" s="10">
        <v>1657795.044</v>
      </c>
      <c r="J52" s="10">
        <v>12.254</v>
      </c>
      <c r="K52" s="36" t="s">
        <v>13</v>
      </c>
      <c r="L52" s="10" t="s">
        <v>12</v>
      </c>
      <c r="M52" s="37">
        <f t="shared" si="2"/>
        <v>1.163333333333334</v>
      </c>
      <c r="N52" s="10">
        <v>1.32</v>
      </c>
      <c r="O52" s="33">
        <f>SUM(M52:N52)-P$48-Q$48</f>
        <v>1.0033333333333343</v>
      </c>
      <c r="P52" s="37"/>
      <c r="Q52" s="37"/>
      <c r="R52" s="37"/>
      <c r="S52" s="37"/>
      <c r="T52" s="37"/>
    </row>
    <row r="53" spans="1:20" s="10" customFormat="1" x14ac:dyDescent="0.3">
      <c r="A53" s="10" t="s">
        <v>347</v>
      </c>
      <c r="B53" s="10" t="s">
        <v>202</v>
      </c>
      <c r="C53" s="34" t="s">
        <v>659</v>
      </c>
      <c r="D53" s="35">
        <v>42774</v>
      </c>
      <c r="E53" s="39">
        <v>0.8354166666666667</v>
      </c>
      <c r="F53" s="10" t="s">
        <v>348</v>
      </c>
      <c r="G53" s="10" t="s">
        <v>349</v>
      </c>
      <c r="H53" s="10">
        <v>5304086.648</v>
      </c>
      <c r="I53" s="10">
        <v>1657795.4350000001</v>
      </c>
      <c r="J53" s="10">
        <v>12.243</v>
      </c>
      <c r="K53" s="36" t="s">
        <v>13</v>
      </c>
      <c r="L53" s="10" t="s">
        <v>12</v>
      </c>
      <c r="M53" s="37">
        <f t="shared" si="2"/>
        <v>1.1523333333333348</v>
      </c>
      <c r="N53" s="10">
        <v>1.32</v>
      </c>
      <c r="O53" s="33">
        <f>SUM(M53:N53)-P$48-Q$48</f>
        <v>0.99233333333333495</v>
      </c>
      <c r="P53" s="37"/>
      <c r="Q53" s="37"/>
      <c r="R53" s="37"/>
      <c r="S53" s="37"/>
      <c r="T53" s="37"/>
    </row>
    <row r="54" spans="1:20" s="10" customFormat="1" x14ac:dyDescent="0.3">
      <c r="A54" s="10" t="s">
        <v>350</v>
      </c>
      <c r="B54" s="10" t="s">
        <v>202</v>
      </c>
      <c r="C54" s="34" t="s">
        <v>659</v>
      </c>
      <c r="D54" s="35">
        <v>42774</v>
      </c>
      <c r="E54" s="39">
        <v>0.8354166666666667</v>
      </c>
      <c r="F54" s="10" t="s">
        <v>348</v>
      </c>
      <c r="G54" s="10" t="s">
        <v>351</v>
      </c>
      <c r="H54" s="10">
        <v>5304086.6550000003</v>
      </c>
      <c r="I54" s="10">
        <v>1657794.5160000001</v>
      </c>
      <c r="J54" s="10">
        <v>12.305999999999999</v>
      </c>
      <c r="K54" s="36" t="s">
        <v>13</v>
      </c>
      <c r="L54" s="10" t="s">
        <v>12</v>
      </c>
      <c r="M54" s="37">
        <f t="shared" si="2"/>
        <v>1.2153333333333336</v>
      </c>
      <c r="N54" s="10">
        <v>1.32</v>
      </c>
      <c r="O54" s="33">
        <f>SUM(M54:N54)-P$48-Q$48</f>
        <v>1.0553333333333339</v>
      </c>
      <c r="P54" s="37"/>
      <c r="Q54" s="37"/>
      <c r="R54" s="37"/>
      <c r="S54" s="37"/>
      <c r="T54" s="37"/>
    </row>
    <row r="55" spans="1:20" s="10" customFormat="1" x14ac:dyDescent="0.3">
      <c r="A55" s="10" t="s">
        <v>352</v>
      </c>
      <c r="B55" s="10" t="s">
        <v>202</v>
      </c>
      <c r="C55" s="34" t="s">
        <v>659</v>
      </c>
      <c r="D55" s="35">
        <v>42774</v>
      </c>
      <c r="E55" s="39">
        <v>0.83611111111111114</v>
      </c>
      <c r="F55" s="10" t="s">
        <v>353</v>
      </c>
      <c r="G55" s="10" t="s">
        <v>354</v>
      </c>
      <c r="H55" s="10">
        <v>5304087.6330000004</v>
      </c>
      <c r="I55" s="10">
        <v>1657795.21</v>
      </c>
      <c r="J55" s="10">
        <v>12.167</v>
      </c>
      <c r="K55" s="36" t="s">
        <v>13</v>
      </c>
      <c r="L55" s="10" t="s">
        <v>12</v>
      </c>
      <c r="M55" s="37">
        <f t="shared" si="2"/>
        <v>1.0763333333333343</v>
      </c>
      <c r="N55" s="10">
        <v>1.32</v>
      </c>
      <c r="O55" s="33">
        <f>SUM(M55:N55)-P$48-Q$48</f>
        <v>0.91633333333333444</v>
      </c>
      <c r="P55" s="37"/>
      <c r="Q55" s="37"/>
      <c r="R55" s="37"/>
      <c r="S55" s="37"/>
      <c r="T55" s="37"/>
    </row>
    <row r="56" spans="1:20" s="10" customFormat="1" x14ac:dyDescent="0.3">
      <c r="A56" s="10" t="s">
        <v>355</v>
      </c>
      <c r="B56" s="10" t="s">
        <v>202</v>
      </c>
      <c r="C56" s="34" t="s">
        <v>659</v>
      </c>
      <c r="D56" s="35">
        <v>42774</v>
      </c>
      <c r="E56" s="39">
        <v>0.83611111111111114</v>
      </c>
      <c r="F56" s="10" t="s">
        <v>356</v>
      </c>
      <c r="G56" s="10" t="s">
        <v>357</v>
      </c>
      <c r="H56" s="10">
        <v>5304088.0619999999</v>
      </c>
      <c r="I56" s="10">
        <v>1657794.683</v>
      </c>
      <c r="J56" s="10">
        <v>12.24</v>
      </c>
      <c r="K56" s="36" t="s">
        <v>13</v>
      </c>
      <c r="L56" s="10" t="s">
        <v>12</v>
      </c>
      <c r="M56" s="37">
        <f t="shared" si="2"/>
        <v>1.1493333333333347</v>
      </c>
      <c r="N56" s="10">
        <v>1.32</v>
      </c>
      <c r="O56" s="33">
        <f>SUM(M56:N56)-P$48-Q$48</f>
        <v>0.98933333333333484</v>
      </c>
    </row>
    <row r="57" spans="1:20" s="10" customFormat="1" x14ac:dyDescent="0.3">
      <c r="A57" s="10" t="s">
        <v>358</v>
      </c>
      <c r="B57" s="10" t="s">
        <v>202</v>
      </c>
      <c r="C57" s="34" t="s">
        <v>659</v>
      </c>
      <c r="D57" s="35">
        <v>42774</v>
      </c>
      <c r="E57" s="39">
        <v>0.83611111111111114</v>
      </c>
      <c r="F57" s="10" t="s">
        <v>359</v>
      </c>
      <c r="G57" s="10" t="s">
        <v>360</v>
      </c>
      <c r="H57" s="10">
        <v>5304088.2860000003</v>
      </c>
      <c r="I57" s="10">
        <v>1657792.825</v>
      </c>
      <c r="J57" s="10">
        <v>12.208</v>
      </c>
      <c r="K57" s="36" t="s">
        <v>13</v>
      </c>
      <c r="L57" s="10" t="s">
        <v>12</v>
      </c>
      <c r="M57" s="37">
        <f t="shared" si="2"/>
        <v>1.1173333333333346</v>
      </c>
      <c r="N57" s="10">
        <v>1.32</v>
      </c>
      <c r="O57" s="33">
        <f>SUM(M57:N57)-P$48-Q$48</f>
        <v>0.95733333333333481</v>
      </c>
    </row>
    <row r="58" spans="1:20" s="10" customFormat="1" x14ac:dyDescent="0.3">
      <c r="A58" s="10" t="s">
        <v>361</v>
      </c>
      <c r="B58" s="10" t="s">
        <v>202</v>
      </c>
      <c r="C58" s="34" t="s">
        <v>659</v>
      </c>
      <c r="D58" s="35">
        <v>42774</v>
      </c>
      <c r="E58" s="39">
        <v>0.83680555555555547</v>
      </c>
      <c r="F58" s="10" t="s">
        <v>362</v>
      </c>
      <c r="G58" s="10" t="s">
        <v>363</v>
      </c>
      <c r="H58" s="10">
        <v>5304088.4929999998</v>
      </c>
      <c r="I58" s="10">
        <v>1657792.645</v>
      </c>
      <c r="J58" s="10">
        <v>12.207000000000001</v>
      </c>
      <c r="K58" s="36" t="s">
        <v>13</v>
      </c>
      <c r="L58" s="10" t="s">
        <v>12</v>
      </c>
      <c r="M58" s="37">
        <f t="shared" si="2"/>
        <v>1.1163333333333352</v>
      </c>
      <c r="N58" s="10">
        <v>1.32</v>
      </c>
      <c r="O58" s="33">
        <f>SUM(M58:N58)-P$48-Q$48</f>
        <v>0.95633333333333537</v>
      </c>
    </row>
    <row r="59" spans="1:20" s="10" customFormat="1" x14ac:dyDescent="0.3">
      <c r="A59" s="10" t="s">
        <v>364</v>
      </c>
      <c r="B59" s="10" t="s">
        <v>202</v>
      </c>
      <c r="C59" s="34" t="s">
        <v>659</v>
      </c>
      <c r="D59" s="35">
        <v>42774</v>
      </c>
      <c r="E59" s="39">
        <v>0.83680555555555547</v>
      </c>
      <c r="F59" s="10" t="s">
        <v>365</v>
      </c>
      <c r="G59" s="10" t="s">
        <v>366</v>
      </c>
      <c r="H59" s="10">
        <v>5304098.62</v>
      </c>
      <c r="I59" s="10">
        <v>1657797.4809999999</v>
      </c>
      <c r="J59" s="10">
        <v>12.039</v>
      </c>
      <c r="K59" s="36" t="s">
        <v>13</v>
      </c>
      <c r="L59" s="10" t="s">
        <v>12</v>
      </c>
      <c r="M59" s="37">
        <f t="shared" si="2"/>
        <v>0.94833333333333414</v>
      </c>
      <c r="N59" s="10">
        <v>1.32</v>
      </c>
      <c r="O59" s="33">
        <f>SUM(M59:N59)-P$48-Q$48</f>
        <v>0.78833333333333433</v>
      </c>
    </row>
    <row r="60" spans="1:20" s="10" customFormat="1" x14ac:dyDescent="0.3">
      <c r="A60" s="10" t="s">
        <v>367</v>
      </c>
      <c r="B60" s="10" t="s">
        <v>202</v>
      </c>
      <c r="C60" s="34" t="s">
        <v>659</v>
      </c>
      <c r="D60" s="35">
        <v>42774</v>
      </c>
      <c r="E60" s="39">
        <v>0.83680555555555547</v>
      </c>
      <c r="F60" s="10" t="s">
        <v>368</v>
      </c>
      <c r="G60" s="10" t="s">
        <v>369</v>
      </c>
      <c r="H60" s="10">
        <v>5304098.2309999997</v>
      </c>
      <c r="I60" s="10">
        <v>1657798.0390000001</v>
      </c>
      <c r="J60" s="10">
        <v>12.254</v>
      </c>
      <c r="K60" s="36" t="s">
        <v>13</v>
      </c>
      <c r="L60" s="10" t="s">
        <v>12</v>
      </c>
      <c r="M60" s="37">
        <f t="shared" si="2"/>
        <v>1.163333333333334</v>
      </c>
      <c r="N60" s="10">
        <v>1.32</v>
      </c>
      <c r="O60" s="33">
        <f>SUM(M60:N60)-P$48-Q$48</f>
        <v>1.0033333333333343</v>
      </c>
    </row>
    <row r="61" spans="1:20" s="10" customFormat="1" x14ac:dyDescent="0.3">
      <c r="A61" s="10" t="s">
        <v>370</v>
      </c>
      <c r="B61" s="10" t="s">
        <v>202</v>
      </c>
      <c r="C61" s="34" t="s">
        <v>659</v>
      </c>
      <c r="D61" s="35">
        <v>42774</v>
      </c>
      <c r="E61" s="39">
        <v>0.83750000000000002</v>
      </c>
      <c r="F61" s="10" t="s">
        <v>371</v>
      </c>
      <c r="G61" s="10" t="s">
        <v>372</v>
      </c>
      <c r="H61" s="10">
        <v>5304097.9510000004</v>
      </c>
      <c r="I61" s="10">
        <v>1657798.11</v>
      </c>
      <c r="J61" s="10">
        <v>12.218999999999999</v>
      </c>
      <c r="K61" s="36" t="s">
        <v>13</v>
      </c>
      <c r="L61" s="10" t="s">
        <v>12</v>
      </c>
      <c r="M61" s="37">
        <f t="shared" si="2"/>
        <v>1.1283333333333339</v>
      </c>
      <c r="N61" s="10">
        <v>1.32</v>
      </c>
      <c r="O61" s="33">
        <f>SUM(M61:N61)-P$48-Q$48</f>
        <v>0.96833333333333405</v>
      </c>
    </row>
    <row r="62" spans="1:20" s="10" customFormat="1" x14ac:dyDescent="0.3">
      <c r="A62" s="10" t="s">
        <v>373</v>
      </c>
      <c r="B62" s="10" t="s">
        <v>202</v>
      </c>
      <c r="C62" s="34" t="s">
        <v>659</v>
      </c>
      <c r="D62" s="35">
        <v>42774</v>
      </c>
      <c r="E62" s="39">
        <v>0.84236111111111101</v>
      </c>
      <c r="F62" s="10" t="s">
        <v>374</v>
      </c>
      <c r="G62" s="10" t="s">
        <v>375</v>
      </c>
      <c r="H62" s="10">
        <v>5304115.585</v>
      </c>
      <c r="I62" s="10">
        <v>1657837.68</v>
      </c>
      <c r="J62" s="10">
        <v>12.317</v>
      </c>
      <c r="K62" s="36" t="s">
        <v>13</v>
      </c>
      <c r="L62" s="10" t="s">
        <v>12</v>
      </c>
      <c r="M62" s="37">
        <f t="shared" si="2"/>
        <v>1.2263333333333346</v>
      </c>
      <c r="N62" s="10">
        <v>1.32</v>
      </c>
      <c r="O62" s="33">
        <f>SUM(M62:N62)-P$48-Q$48</f>
        <v>1.0663333333333349</v>
      </c>
    </row>
    <row r="63" spans="1:20" s="10" customFormat="1" x14ac:dyDescent="0.3">
      <c r="A63" s="10" t="s">
        <v>376</v>
      </c>
      <c r="B63" s="10" t="s">
        <v>202</v>
      </c>
      <c r="C63" s="34" t="s">
        <v>659</v>
      </c>
      <c r="D63" s="35">
        <v>42774</v>
      </c>
      <c r="E63" s="39">
        <v>0.84236111111111101</v>
      </c>
      <c r="F63" s="10" t="s">
        <v>377</v>
      </c>
      <c r="G63" s="10" t="s">
        <v>378</v>
      </c>
      <c r="H63" s="10">
        <v>5304114.7910000002</v>
      </c>
      <c r="I63" s="10">
        <v>1657837.0989999999</v>
      </c>
      <c r="J63" s="10">
        <v>12.298999999999999</v>
      </c>
      <c r="K63" s="36" t="s">
        <v>13</v>
      </c>
      <c r="L63" s="10" t="s">
        <v>12</v>
      </c>
      <c r="M63" s="37">
        <f t="shared" si="2"/>
        <v>1.2083333333333339</v>
      </c>
      <c r="N63" s="10">
        <v>1.32</v>
      </c>
      <c r="O63" s="33">
        <f>SUM(M63:N63)-P$48-Q$48</f>
        <v>1.0483333333333342</v>
      </c>
    </row>
    <row r="64" spans="1:20" s="10" customFormat="1" x14ac:dyDescent="0.3">
      <c r="A64" s="10" t="s">
        <v>379</v>
      </c>
      <c r="B64" s="10" t="s">
        <v>202</v>
      </c>
      <c r="C64" s="34" t="s">
        <v>659</v>
      </c>
      <c r="D64" s="35">
        <v>42774</v>
      </c>
      <c r="E64" s="39">
        <v>0.84236111111111101</v>
      </c>
      <c r="F64" s="10" t="s">
        <v>380</v>
      </c>
      <c r="G64" s="10" t="s">
        <v>381</v>
      </c>
      <c r="H64" s="10">
        <v>5304114.0449999999</v>
      </c>
      <c r="I64" s="10">
        <v>1657838.3130000001</v>
      </c>
      <c r="J64" s="10">
        <v>12.254</v>
      </c>
      <c r="K64" s="36" t="s">
        <v>13</v>
      </c>
      <c r="L64" s="10" t="s">
        <v>12</v>
      </c>
      <c r="M64" s="37">
        <f t="shared" si="2"/>
        <v>1.163333333333334</v>
      </c>
      <c r="N64" s="10">
        <v>1.32</v>
      </c>
      <c r="O64" s="33">
        <f>SUM(M64:N64)-P$48-Q$48</f>
        <v>1.0033333333333343</v>
      </c>
    </row>
    <row r="65" spans="1:19" s="10" customFormat="1" x14ac:dyDescent="0.3">
      <c r="A65" s="10" t="s">
        <v>382</v>
      </c>
      <c r="B65" s="10" t="s">
        <v>202</v>
      </c>
      <c r="C65" s="34" t="s">
        <v>659</v>
      </c>
      <c r="D65" s="35">
        <v>42774</v>
      </c>
      <c r="E65" s="39">
        <v>0.84305555555555556</v>
      </c>
      <c r="F65" s="10" t="s">
        <v>383</v>
      </c>
      <c r="G65" s="10" t="s">
        <v>384</v>
      </c>
      <c r="H65" s="10">
        <v>5304113.6550000003</v>
      </c>
      <c r="I65" s="10">
        <v>1657839.581</v>
      </c>
      <c r="J65" s="10">
        <v>12.292</v>
      </c>
      <c r="K65" s="36" t="s">
        <v>13</v>
      </c>
      <c r="L65" s="10" t="s">
        <v>12</v>
      </c>
      <c r="M65" s="37">
        <f t="shared" si="2"/>
        <v>1.2013333333333343</v>
      </c>
      <c r="N65" s="10">
        <v>1.32</v>
      </c>
      <c r="O65" s="33">
        <f>SUM(M65:N65)-P$48-Q$48</f>
        <v>1.0413333333333346</v>
      </c>
    </row>
    <row r="66" spans="1:19" s="10" customFormat="1" x14ac:dyDescent="0.3">
      <c r="A66" s="10" t="s">
        <v>385</v>
      </c>
      <c r="B66" s="10" t="s">
        <v>202</v>
      </c>
      <c r="C66" s="34" t="s">
        <v>659</v>
      </c>
      <c r="D66" s="35">
        <v>42774</v>
      </c>
      <c r="E66" s="39">
        <v>0.84305555555555556</v>
      </c>
      <c r="F66" s="10" t="s">
        <v>386</v>
      </c>
      <c r="G66" s="10" t="s">
        <v>387</v>
      </c>
      <c r="H66" s="10">
        <v>5304113.6890000002</v>
      </c>
      <c r="I66" s="10">
        <v>1657841.3359999999</v>
      </c>
      <c r="J66" s="10">
        <v>12.266</v>
      </c>
      <c r="K66" s="36" t="s">
        <v>13</v>
      </c>
      <c r="L66" s="10" t="s">
        <v>12</v>
      </c>
      <c r="M66" s="37">
        <f t="shared" si="2"/>
        <v>1.1753333333333345</v>
      </c>
      <c r="N66" s="10">
        <v>1.32</v>
      </c>
      <c r="O66" s="33">
        <f>SUM(M66:N66)-P$48-Q$48</f>
        <v>1.0153333333333348</v>
      </c>
    </row>
    <row r="67" spans="1:19" s="10" customFormat="1" x14ac:dyDescent="0.3">
      <c r="A67" s="10" t="s">
        <v>388</v>
      </c>
      <c r="B67" s="10" t="s">
        <v>202</v>
      </c>
      <c r="C67" s="34" t="s">
        <v>659</v>
      </c>
      <c r="D67" s="35">
        <v>42774</v>
      </c>
      <c r="E67" s="39">
        <v>0.84375</v>
      </c>
      <c r="F67" s="10" t="s">
        <v>389</v>
      </c>
      <c r="G67" s="10" t="s">
        <v>390</v>
      </c>
      <c r="H67" s="10">
        <v>5304111.4879999999</v>
      </c>
      <c r="I67" s="10">
        <v>1657843.3640000001</v>
      </c>
      <c r="J67" s="10">
        <v>12.241</v>
      </c>
      <c r="K67" s="36" t="s">
        <v>13</v>
      </c>
      <c r="L67" s="10" t="s">
        <v>12</v>
      </c>
      <c r="M67" s="37">
        <f t="shared" si="2"/>
        <v>1.1503333333333341</v>
      </c>
      <c r="N67" s="10">
        <v>1.32</v>
      </c>
      <c r="O67" s="33">
        <f>SUM(M67:N67)-P$48-Q$48</f>
        <v>0.99033333333333429</v>
      </c>
      <c r="R67" s="40"/>
      <c r="S67" s="40"/>
    </row>
    <row r="68" spans="1:19" s="10" customFormat="1" x14ac:dyDescent="0.3">
      <c r="A68" s="10" t="s">
        <v>391</v>
      </c>
      <c r="B68" s="10" t="s">
        <v>202</v>
      </c>
      <c r="C68" s="34" t="s">
        <v>659</v>
      </c>
      <c r="D68" s="35">
        <v>42774</v>
      </c>
      <c r="E68" s="39">
        <v>0.84375</v>
      </c>
      <c r="F68" s="10" t="s">
        <v>392</v>
      </c>
      <c r="G68" s="10" t="s">
        <v>393</v>
      </c>
      <c r="H68" s="10">
        <v>5304111.1330000004</v>
      </c>
      <c r="I68" s="10">
        <v>1657845.2609999999</v>
      </c>
      <c r="J68" s="10">
        <v>12.247999999999999</v>
      </c>
      <c r="K68" s="36" t="s">
        <v>13</v>
      </c>
      <c r="L68" s="10" t="s">
        <v>12</v>
      </c>
      <c r="M68" s="37">
        <f t="shared" si="2"/>
        <v>1.1573333333333338</v>
      </c>
      <c r="N68" s="10">
        <v>1.32</v>
      </c>
      <c r="O68" s="33">
        <f>SUM(M68:N68)-P$48-Q$48</f>
        <v>0.99733333333333396</v>
      </c>
      <c r="R68" s="40"/>
    </row>
    <row r="69" spans="1:19" s="10" customFormat="1" x14ac:dyDescent="0.3">
      <c r="A69" s="10" t="s">
        <v>394</v>
      </c>
      <c r="B69" s="10" t="s">
        <v>202</v>
      </c>
      <c r="C69" s="34" t="s">
        <v>659</v>
      </c>
      <c r="D69" s="35">
        <v>42774</v>
      </c>
      <c r="E69" s="39">
        <v>0.84444444444444444</v>
      </c>
      <c r="F69" s="10" t="s">
        <v>395</v>
      </c>
      <c r="G69" s="10" t="s">
        <v>396</v>
      </c>
      <c r="H69" s="10">
        <v>5304114.0539999995</v>
      </c>
      <c r="I69" s="10">
        <v>1657845.14</v>
      </c>
      <c r="J69" s="10">
        <v>12.205</v>
      </c>
      <c r="K69" s="36" t="s">
        <v>13</v>
      </c>
      <c r="L69" s="10" t="s">
        <v>12</v>
      </c>
      <c r="M69" s="37">
        <f t="shared" si="2"/>
        <v>1.1143333333333345</v>
      </c>
      <c r="N69" s="10">
        <v>1.32</v>
      </c>
      <c r="O69" s="33">
        <f>SUM(M69:N69)-P$48-Q$48</f>
        <v>0.9543333333333347</v>
      </c>
      <c r="R69" s="40"/>
    </row>
    <row r="70" spans="1:19" s="10" customFormat="1" x14ac:dyDescent="0.3">
      <c r="A70" s="10" t="s">
        <v>397</v>
      </c>
      <c r="B70" s="10" t="s">
        <v>202</v>
      </c>
      <c r="C70" s="34" t="s">
        <v>659</v>
      </c>
      <c r="D70" s="35">
        <v>42774</v>
      </c>
      <c r="E70" s="39">
        <v>0.84444444444444444</v>
      </c>
      <c r="F70" s="10" t="s">
        <v>398</v>
      </c>
      <c r="G70" s="10" t="s">
        <v>399</v>
      </c>
      <c r="H70" s="10">
        <v>5304120.57</v>
      </c>
      <c r="I70" s="10">
        <v>1657856.33</v>
      </c>
      <c r="J70" s="10">
        <v>12.27</v>
      </c>
      <c r="K70" s="36" t="s">
        <v>13</v>
      </c>
      <c r="L70" s="10" t="s">
        <v>12</v>
      </c>
      <c r="M70" s="37">
        <f t="shared" si="2"/>
        <v>1.179333333333334</v>
      </c>
      <c r="N70" s="10">
        <v>1.32</v>
      </c>
      <c r="O70" s="33">
        <f>SUM(M70:N70)-P$48-Q$48</f>
        <v>1.0193333333333343</v>
      </c>
      <c r="R70" s="40"/>
    </row>
    <row r="71" spans="1:19" s="10" customFormat="1" x14ac:dyDescent="0.3">
      <c r="A71" s="10" t="s">
        <v>400</v>
      </c>
      <c r="B71" s="10" t="s">
        <v>202</v>
      </c>
      <c r="C71" s="34" t="s">
        <v>659</v>
      </c>
      <c r="D71" s="35">
        <v>42774</v>
      </c>
      <c r="E71" s="39">
        <v>0.84444444444444444</v>
      </c>
      <c r="F71" s="10" t="s">
        <v>401</v>
      </c>
      <c r="G71" s="10" t="s">
        <v>402</v>
      </c>
      <c r="H71" s="10">
        <v>5304123.227</v>
      </c>
      <c r="I71" s="10">
        <v>1657859.2930000001</v>
      </c>
      <c r="J71" s="10">
        <v>12.212</v>
      </c>
      <c r="K71" s="36" t="s">
        <v>13</v>
      </c>
      <c r="L71" s="10" t="s">
        <v>12</v>
      </c>
      <c r="M71" s="37">
        <f t="shared" si="2"/>
        <v>1.1213333333333342</v>
      </c>
      <c r="N71" s="10">
        <v>1.32</v>
      </c>
      <c r="O71" s="33">
        <f>SUM(M71:N71)-P$48-Q$48</f>
        <v>0.96133333333333437</v>
      </c>
      <c r="R71" s="40"/>
    </row>
    <row r="72" spans="1:19" s="10" customFormat="1" x14ac:dyDescent="0.3">
      <c r="A72" s="10" t="s">
        <v>403</v>
      </c>
      <c r="B72" s="10" t="s">
        <v>202</v>
      </c>
      <c r="C72" s="34" t="s">
        <v>659</v>
      </c>
      <c r="D72" s="35">
        <v>42774</v>
      </c>
      <c r="E72" s="39">
        <v>0.84513888888888899</v>
      </c>
      <c r="F72" s="10" t="s">
        <v>404</v>
      </c>
      <c r="G72" s="10" t="s">
        <v>405</v>
      </c>
      <c r="H72" s="10">
        <v>5304123.3899999997</v>
      </c>
      <c r="I72" s="10">
        <v>1657860.017</v>
      </c>
      <c r="J72" s="10">
        <v>12.228999999999999</v>
      </c>
      <c r="K72" s="36" t="s">
        <v>13</v>
      </c>
      <c r="L72" s="10" t="s">
        <v>12</v>
      </c>
      <c r="M72" s="37">
        <f t="shared" si="2"/>
        <v>1.1383333333333336</v>
      </c>
      <c r="N72" s="10">
        <v>1.32</v>
      </c>
      <c r="O72" s="33">
        <f>SUM(M72:N72)-P$48-Q$48</f>
        <v>0.97833333333333383</v>
      </c>
      <c r="R72" s="40"/>
    </row>
    <row r="73" spans="1:19" s="10" customFormat="1" x14ac:dyDescent="0.3">
      <c r="A73" s="10" t="s">
        <v>406</v>
      </c>
      <c r="B73" s="10" t="s">
        <v>202</v>
      </c>
      <c r="C73" s="34" t="s">
        <v>659</v>
      </c>
      <c r="D73" s="35">
        <v>42774</v>
      </c>
      <c r="E73" s="39">
        <v>0.84513888888888899</v>
      </c>
      <c r="F73" s="10" t="s">
        <v>407</v>
      </c>
      <c r="G73" s="10" t="s">
        <v>408</v>
      </c>
      <c r="H73" s="10">
        <v>5304123.5489999996</v>
      </c>
      <c r="I73" s="10">
        <v>1657856.6969999999</v>
      </c>
      <c r="J73" s="10">
        <v>12.22</v>
      </c>
      <c r="K73" s="36" t="s">
        <v>13</v>
      </c>
      <c r="L73" s="10" t="s">
        <v>12</v>
      </c>
      <c r="M73" s="37">
        <f t="shared" si="2"/>
        <v>1.1293333333333351</v>
      </c>
      <c r="N73" s="10">
        <v>1.32</v>
      </c>
      <c r="O73" s="33">
        <f>SUM(M73:N73)-P$48-Q$48</f>
        <v>0.96933333333333527</v>
      </c>
      <c r="R73" s="40"/>
    </row>
    <row r="74" spans="1:19" s="10" customFormat="1" x14ac:dyDescent="0.3">
      <c r="A74" s="10" t="s">
        <v>409</v>
      </c>
      <c r="B74" s="10" t="s">
        <v>202</v>
      </c>
      <c r="C74" s="34" t="s">
        <v>659</v>
      </c>
      <c r="D74" s="35">
        <v>42774</v>
      </c>
      <c r="E74" s="39">
        <v>0.84583333333333333</v>
      </c>
      <c r="F74" s="10" t="s">
        <v>410</v>
      </c>
      <c r="G74" s="10" t="s">
        <v>411</v>
      </c>
      <c r="H74" s="10">
        <v>5304125.2510000002</v>
      </c>
      <c r="I74" s="10">
        <v>1657856.2819999999</v>
      </c>
      <c r="J74" s="10">
        <v>12.2</v>
      </c>
      <c r="K74" s="36" t="s">
        <v>13</v>
      </c>
      <c r="L74" s="10" t="s">
        <v>12</v>
      </c>
      <c r="M74" s="37">
        <f t="shared" si="2"/>
        <v>1.1093333333333337</v>
      </c>
      <c r="N74" s="10">
        <v>1.32</v>
      </c>
      <c r="O74" s="33">
        <f>SUM(M74:N74)-P$48-Q$48</f>
        <v>0.94933333333333392</v>
      </c>
      <c r="R74" s="40"/>
    </row>
    <row r="75" spans="1:19" s="10" customFormat="1" x14ac:dyDescent="0.3">
      <c r="A75" s="10" t="s">
        <v>412</v>
      </c>
      <c r="B75" s="10" t="s">
        <v>202</v>
      </c>
      <c r="C75" s="34" t="s">
        <v>659</v>
      </c>
      <c r="D75" s="35">
        <v>42774</v>
      </c>
      <c r="E75" s="39">
        <v>0.84583333333333333</v>
      </c>
      <c r="F75" s="10" t="s">
        <v>413</v>
      </c>
      <c r="G75" s="10" t="s">
        <v>414</v>
      </c>
      <c r="H75" s="10">
        <v>5304125.9050000003</v>
      </c>
      <c r="I75" s="10">
        <v>1657858.1910000001</v>
      </c>
      <c r="J75" s="10">
        <v>12.08</v>
      </c>
      <c r="K75" s="36" t="s">
        <v>13</v>
      </c>
      <c r="L75" s="10" t="s">
        <v>12</v>
      </c>
      <c r="M75" s="37">
        <f t="shared" si="2"/>
        <v>0.98933333333333451</v>
      </c>
      <c r="N75" s="10">
        <v>1.32</v>
      </c>
      <c r="O75" s="33">
        <f>SUM(M75:N75)-P$48-Q$48</f>
        <v>0.8293333333333347</v>
      </c>
      <c r="R75" s="40"/>
    </row>
    <row r="76" spans="1:19" s="10" customFormat="1" x14ac:dyDescent="0.3">
      <c r="A76" s="10" t="s">
        <v>415</v>
      </c>
      <c r="B76" s="10" t="s">
        <v>202</v>
      </c>
      <c r="C76" s="34" t="s">
        <v>659</v>
      </c>
      <c r="D76" s="35">
        <v>42774</v>
      </c>
      <c r="E76" s="39">
        <v>0.84652777777777777</v>
      </c>
      <c r="F76" s="10" t="s">
        <v>416</v>
      </c>
      <c r="G76" s="10" t="s">
        <v>417</v>
      </c>
      <c r="H76" s="10">
        <v>5304127.4550000001</v>
      </c>
      <c r="I76" s="10">
        <v>1657856.9909999999</v>
      </c>
      <c r="J76" s="10">
        <v>12.180999999999999</v>
      </c>
      <c r="K76" s="36" t="s">
        <v>13</v>
      </c>
      <c r="L76" s="10" t="s">
        <v>12</v>
      </c>
      <c r="M76" s="37">
        <f t="shared" si="2"/>
        <v>1.0903333333333336</v>
      </c>
      <c r="N76" s="10">
        <v>1.32</v>
      </c>
      <c r="O76" s="33">
        <f>SUM(M76:N76)-P$48-Q$48</f>
        <v>0.93033333333333379</v>
      </c>
      <c r="R76" s="40"/>
    </row>
    <row r="77" spans="1:19" s="10" customFormat="1" x14ac:dyDescent="0.3">
      <c r="A77" s="10" t="s">
        <v>418</v>
      </c>
      <c r="B77" s="10" t="s">
        <v>202</v>
      </c>
      <c r="C77" s="34" t="s">
        <v>659</v>
      </c>
      <c r="D77" s="35">
        <v>42774</v>
      </c>
      <c r="E77" s="39">
        <v>0.84652777777777777</v>
      </c>
      <c r="F77" s="10" t="s">
        <v>419</v>
      </c>
      <c r="G77" s="10" t="s">
        <v>420</v>
      </c>
      <c r="H77" s="10">
        <v>5304129.6390000004</v>
      </c>
      <c r="I77" s="10">
        <v>1657858.034</v>
      </c>
      <c r="J77" s="10">
        <v>12.259</v>
      </c>
      <c r="K77" s="36" t="s">
        <v>13</v>
      </c>
      <c r="L77" s="10" t="s">
        <v>12</v>
      </c>
      <c r="M77" s="37">
        <f t="shared" si="2"/>
        <v>1.1683333333333348</v>
      </c>
      <c r="N77" s="10">
        <v>1.32</v>
      </c>
      <c r="O77" s="33">
        <f>SUM(M77:N77)-P$48-Q$48</f>
        <v>1.0083333333333351</v>
      </c>
      <c r="R77" s="40"/>
    </row>
    <row r="78" spans="1:19" s="10" customFormat="1" x14ac:dyDescent="0.3">
      <c r="A78" s="10" t="s">
        <v>421</v>
      </c>
      <c r="B78" s="10" t="s">
        <v>202</v>
      </c>
      <c r="C78" s="34" t="s">
        <v>659</v>
      </c>
      <c r="D78" s="35">
        <v>42774</v>
      </c>
      <c r="E78" s="39">
        <v>0.85138888888888886</v>
      </c>
      <c r="F78" s="10" t="s">
        <v>422</v>
      </c>
      <c r="G78" s="10" t="s">
        <v>423</v>
      </c>
      <c r="H78" s="10">
        <v>5304194.2759999996</v>
      </c>
      <c r="I78" s="10">
        <v>1657918.0090000001</v>
      </c>
      <c r="J78" s="10">
        <v>12.345000000000001</v>
      </c>
      <c r="K78" s="36" t="s">
        <v>13</v>
      </c>
      <c r="L78" s="10" t="s">
        <v>12</v>
      </c>
      <c r="M78" s="37">
        <f t="shared" si="2"/>
        <v>1.2543333333333351</v>
      </c>
      <c r="N78" s="10">
        <v>1.32</v>
      </c>
      <c r="O78" s="33">
        <f>SUM(M78:N78)-P$48-Q$48</f>
        <v>1.0943333333333354</v>
      </c>
      <c r="R78" s="40"/>
    </row>
    <row r="79" spans="1:19" s="10" customFormat="1" x14ac:dyDescent="0.3">
      <c r="A79" s="10" t="s">
        <v>424</v>
      </c>
      <c r="B79" s="10" t="s">
        <v>202</v>
      </c>
      <c r="C79" s="34" t="s">
        <v>659</v>
      </c>
      <c r="D79" s="35">
        <v>42774</v>
      </c>
      <c r="E79" s="39">
        <v>0.85277777777777775</v>
      </c>
      <c r="F79" s="10" t="s">
        <v>425</v>
      </c>
      <c r="G79" s="10" t="s">
        <v>426</v>
      </c>
      <c r="H79" s="10">
        <v>5304195.9009999996</v>
      </c>
      <c r="I79" s="10">
        <v>1657917.287</v>
      </c>
      <c r="J79" s="10">
        <v>12.326000000000001</v>
      </c>
      <c r="K79" s="36" t="s">
        <v>13</v>
      </c>
      <c r="L79" s="10" t="s">
        <v>12</v>
      </c>
      <c r="M79" s="37">
        <f t="shared" si="2"/>
        <v>1.2353333333333349</v>
      </c>
      <c r="N79" s="10">
        <v>1.32</v>
      </c>
      <c r="O79" s="33">
        <f>SUM(M79:N79)-P$48-Q$48</f>
        <v>1.0753333333333353</v>
      </c>
      <c r="R79" s="40"/>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5"/>
  <sheetViews>
    <sheetView tabSelected="1" workbookViewId="0">
      <selection activeCell="C46" sqref="C46:C63"/>
    </sheetView>
  </sheetViews>
  <sheetFormatPr defaultRowHeight="14.4" x14ac:dyDescent="0.3"/>
  <cols>
    <col min="1" max="1" width="12.44140625" style="38" customWidth="1"/>
    <col min="2" max="2" width="12.88671875" style="38" customWidth="1"/>
    <col min="3" max="3" width="8.88671875" style="38"/>
    <col min="4" max="4" width="14.88671875" style="38" customWidth="1"/>
    <col min="5" max="5" width="11.88671875" style="38" customWidth="1"/>
    <col min="6" max="6" width="11.44140625" style="38" customWidth="1"/>
    <col min="7" max="7" width="11.88671875" style="38" customWidth="1"/>
    <col min="8" max="8" width="21.88671875" style="38" customWidth="1"/>
    <col min="9" max="9" width="15" style="38" customWidth="1"/>
    <col min="10" max="10" width="12.5546875" style="38" customWidth="1"/>
    <col min="11" max="15" width="8.88671875" style="38"/>
    <col min="16" max="16" width="20.21875" style="10" customWidth="1"/>
    <col min="17" max="16384" width="8.88671875" style="10"/>
  </cols>
  <sheetData>
    <row r="1" spans="1:20" s="2" customFormat="1" x14ac:dyDescent="0.3">
      <c r="A1" s="2" t="s">
        <v>677</v>
      </c>
      <c r="B1" s="2" t="s">
        <v>450</v>
      </c>
      <c r="C1" s="2" t="s">
        <v>451</v>
      </c>
      <c r="D1" s="2" t="s">
        <v>449</v>
      </c>
      <c r="E1" s="2" t="s">
        <v>452</v>
      </c>
      <c r="F1" s="2" t="s">
        <v>453</v>
      </c>
      <c r="G1" s="2" t="s">
        <v>454</v>
      </c>
      <c r="H1" s="2" t="s">
        <v>9</v>
      </c>
      <c r="I1" s="2" t="s">
        <v>666</v>
      </c>
      <c r="J1" s="2" t="s">
        <v>445</v>
      </c>
      <c r="K1" s="44" t="s">
        <v>438</v>
      </c>
      <c r="L1" s="44" t="s">
        <v>495</v>
      </c>
      <c r="M1" s="44" t="s">
        <v>446</v>
      </c>
      <c r="N1" s="44" t="s">
        <v>506</v>
      </c>
      <c r="O1" s="44" t="s">
        <v>502</v>
      </c>
    </row>
    <row r="2" spans="1:20" s="4" customFormat="1" x14ac:dyDescent="0.3">
      <c r="A2" s="4" t="s">
        <v>455</v>
      </c>
      <c r="B2" s="4" t="s">
        <v>447</v>
      </c>
      <c r="C2" s="4" t="s">
        <v>461</v>
      </c>
      <c r="D2" s="5">
        <v>42768</v>
      </c>
      <c r="E2" s="6">
        <v>0.56597222222222221</v>
      </c>
      <c r="F2" s="4">
        <v>1657663</v>
      </c>
      <c r="G2" s="4">
        <v>5304021</v>
      </c>
      <c r="H2" s="42" t="s">
        <v>11</v>
      </c>
      <c r="I2" s="4" t="s">
        <v>456</v>
      </c>
      <c r="J2" s="4">
        <v>0.6</v>
      </c>
      <c r="K2" s="4">
        <v>1.885</v>
      </c>
      <c r="L2" s="45">
        <v>1.1000000000000001</v>
      </c>
      <c r="M2" s="4">
        <v>0.26</v>
      </c>
      <c r="N2" s="46">
        <f t="shared" ref="N2:N33" si="0">SUM(J2:K2)-L2-M2</f>
        <v>1.1249999999999998</v>
      </c>
      <c r="O2" s="12">
        <f>AVERAGE(N2:N23)</f>
        <v>1.0545454545454542</v>
      </c>
    </row>
    <row r="3" spans="1:20" s="4" customFormat="1" x14ac:dyDescent="0.3">
      <c r="A3" s="4" t="s">
        <v>457</v>
      </c>
      <c r="B3" s="4" t="s">
        <v>447</v>
      </c>
      <c r="C3" s="4" t="s">
        <v>461</v>
      </c>
      <c r="D3" s="5">
        <v>42768</v>
      </c>
      <c r="E3" s="6"/>
      <c r="F3" s="4" t="s">
        <v>487</v>
      </c>
      <c r="G3" s="4" t="s">
        <v>488</v>
      </c>
      <c r="H3" s="42" t="s">
        <v>11</v>
      </c>
      <c r="I3" s="4" t="s">
        <v>456</v>
      </c>
      <c r="J3" s="4">
        <v>0.55000000000000004</v>
      </c>
      <c r="K3" s="4">
        <v>1.885</v>
      </c>
      <c r="L3" s="45">
        <v>1.1000000000000001</v>
      </c>
      <c r="M3" s="4">
        <v>0.26</v>
      </c>
      <c r="N3" s="46">
        <f t="shared" si="0"/>
        <v>1.075</v>
      </c>
    </row>
    <row r="4" spans="1:20" s="4" customFormat="1" x14ac:dyDescent="0.3">
      <c r="A4" s="4" t="s">
        <v>458</v>
      </c>
      <c r="B4" s="4" t="s">
        <v>447</v>
      </c>
      <c r="C4" s="4" t="s">
        <v>461</v>
      </c>
      <c r="D4" s="5">
        <v>42768</v>
      </c>
      <c r="E4" s="6"/>
      <c r="F4" s="4" t="s">
        <v>487</v>
      </c>
      <c r="G4" s="4" t="s">
        <v>488</v>
      </c>
      <c r="H4" s="42" t="s">
        <v>11</v>
      </c>
      <c r="I4" s="4" t="s">
        <v>456</v>
      </c>
      <c r="J4" s="4">
        <v>0.6</v>
      </c>
      <c r="K4" s="4">
        <v>1.885</v>
      </c>
      <c r="L4" s="45">
        <v>1.1000000000000001</v>
      </c>
      <c r="M4" s="4">
        <v>0.26</v>
      </c>
      <c r="N4" s="46">
        <f t="shared" si="0"/>
        <v>1.1249999999999998</v>
      </c>
    </row>
    <row r="5" spans="1:20" s="4" customFormat="1" x14ac:dyDescent="0.3">
      <c r="A5" s="4" t="s">
        <v>459</v>
      </c>
      <c r="B5" s="4" t="s">
        <v>447</v>
      </c>
      <c r="C5" s="4" t="s">
        <v>461</v>
      </c>
      <c r="D5" s="5">
        <v>42768</v>
      </c>
      <c r="E5" s="6"/>
      <c r="F5" s="4" t="s">
        <v>487</v>
      </c>
      <c r="G5" s="4" t="s">
        <v>488</v>
      </c>
      <c r="H5" s="42" t="s">
        <v>11</v>
      </c>
      <c r="I5" s="4" t="s">
        <v>12</v>
      </c>
      <c r="J5" s="4">
        <v>0.5</v>
      </c>
      <c r="K5" s="4">
        <v>1.885</v>
      </c>
      <c r="L5" s="45">
        <v>1.1000000000000001</v>
      </c>
      <c r="M5" s="4">
        <v>0.26</v>
      </c>
      <c r="N5" s="47">
        <f t="shared" si="0"/>
        <v>1.0249999999999997</v>
      </c>
      <c r="P5" s="19" t="s">
        <v>652</v>
      </c>
      <c r="Q5" s="13">
        <f>AVERAGE(N2:N95)</f>
        <v>1.0522446808510635</v>
      </c>
      <c r="R5" s="13">
        <f>STDEVA(N2:N95)</f>
        <v>0.10633611613680044</v>
      </c>
      <c r="S5" s="13">
        <f>MIN(N2:N95)</f>
        <v>0.87099999999999977</v>
      </c>
      <c r="T5" s="13">
        <f>MAX(N2:N95)</f>
        <v>1.3540000000000001</v>
      </c>
    </row>
    <row r="6" spans="1:20" s="4" customFormat="1" x14ac:dyDescent="0.3">
      <c r="A6" s="4" t="s">
        <v>460</v>
      </c>
      <c r="B6" s="4" t="s">
        <v>447</v>
      </c>
      <c r="C6" s="4" t="s">
        <v>461</v>
      </c>
      <c r="D6" s="5">
        <v>42768</v>
      </c>
      <c r="E6" s="6"/>
      <c r="F6" s="4" t="s">
        <v>487</v>
      </c>
      <c r="G6" s="4" t="s">
        <v>488</v>
      </c>
      <c r="H6" s="42" t="s">
        <v>11</v>
      </c>
      <c r="I6" s="4" t="s">
        <v>456</v>
      </c>
      <c r="J6" s="4">
        <v>0.55000000000000004</v>
      </c>
      <c r="K6" s="4">
        <v>1.885</v>
      </c>
      <c r="L6" s="45">
        <v>1.1000000000000001</v>
      </c>
      <c r="M6" s="4">
        <v>0.26</v>
      </c>
      <c r="N6" s="46">
        <f t="shared" si="0"/>
        <v>1.075</v>
      </c>
      <c r="P6" s="19" t="s">
        <v>653</v>
      </c>
      <c r="Q6" s="15">
        <f>AVERAGE(N49,N55:N56,N58,N60,N64:N72)</f>
        <v>1.0997142857142856</v>
      </c>
      <c r="R6" s="15">
        <f>STDEVA(N49,N55:N56,N58,N60,N64:N72)</f>
        <v>0.12616925663045456</v>
      </c>
      <c r="S6" s="15">
        <f>MIN(N49,N55:N56,N58,N60,N64:N72)</f>
        <v>0.90799999999999981</v>
      </c>
      <c r="T6" s="15">
        <f>MAX(N49,N55:N56,N58,N60,N64:N72)</f>
        <v>1.3540000000000001</v>
      </c>
    </row>
    <row r="7" spans="1:20" s="4" customFormat="1" x14ac:dyDescent="0.3">
      <c r="A7" s="4" t="s">
        <v>462</v>
      </c>
      <c r="B7" s="4" t="s">
        <v>447</v>
      </c>
      <c r="C7" s="4" t="s">
        <v>461</v>
      </c>
      <c r="D7" s="5">
        <v>42768</v>
      </c>
      <c r="E7" s="6"/>
      <c r="F7" s="4" t="s">
        <v>487</v>
      </c>
      <c r="G7" s="4" t="s">
        <v>488</v>
      </c>
      <c r="H7" s="42" t="s">
        <v>11</v>
      </c>
      <c r="I7" s="4" t="s">
        <v>12</v>
      </c>
      <c r="J7" s="4">
        <v>0.6</v>
      </c>
      <c r="K7" s="4">
        <v>1.885</v>
      </c>
      <c r="L7" s="45">
        <v>1.1000000000000001</v>
      </c>
      <c r="M7" s="4">
        <v>0.26</v>
      </c>
      <c r="N7" s="47">
        <f t="shared" si="0"/>
        <v>1.1249999999999998</v>
      </c>
      <c r="P7" s="19" t="s">
        <v>654</v>
      </c>
      <c r="Q7" s="16">
        <f>AVERAGE(N62,N73:N78,N88:N89,N95)</f>
        <v>1.2134000000000003</v>
      </c>
      <c r="R7" s="16">
        <f>STDEVA(N62,N73:N78,N88:N89,N95)</f>
        <v>9.0377234104858692E-2</v>
      </c>
      <c r="S7" s="16">
        <f>MIN(N62,N73:N78,N88:N89,N95)</f>
        <v>1.0680000000000001</v>
      </c>
      <c r="T7" s="16">
        <f>MAX(N62,N73:N78,N88:N89,N95)</f>
        <v>1.3540000000000001</v>
      </c>
    </row>
    <row r="8" spans="1:20" s="4" customFormat="1" x14ac:dyDescent="0.3">
      <c r="A8" s="4" t="s">
        <v>463</v>
      </c>
      <c r="B8" s="4" t="s">
        <v>447</v>
      </c>
      <c r="C8" s="4" t="s">
        <v>461</v>
      </c>
      <c r="D8" s="5">
        <v>42768</v>
      </c>
      <c r="E8" s="6"/>
      <c r="F8" s="4" t="s">
        <v>487</v>
      </c>
      <c r="G8" s="4" t="s">
        <v>488</v>
      </c>
      <c r="H8" s="42" t="s">
        <v>11</v>
      </c>
      <c r="I8" s="4" t="s">
        <v>12</v>
      </c>
      <c r="J8" s="4">
        <v>0.55000000000000004</v>
      </c>
      <c r="K8" s="4">
        <v>1.885</v>
      </c>
      <c r="L8" s="45">
        <v>1.1000000000000001</v>
      </c>
      <c r="M8" s="4">
        <v>0.26</v>
      </c>
      <c r="N8" s="47">
        <f t="shared" si="0"/>
        <v>1.075</v>
      </c>
      <c r="P8" s="19" t="s">
        <v>655</v>
      </c>
      <c r="Q8" s="17">
        <f>AVERAGE(N5,N7:N13,N31:N48,N50:N54,N57,N59,N61,N63,N92)</f>
        <v>0.9811666666666663</v>
      </c>
      <c r="R8" s="17">
        <f>STDEVA(N5,N7:N13,N31:N48,N50:N54,N57,N59,N61,N63,N92)</f>
        <v>6.0901090771371721E-2</v>
      </c>
      <c r="S8" s="17">
        <f>MIN(N5,N7:N13,N31:N48,N50:N54,N57,N59,N61,N63,N92)</f>
        <v>0.87099999999999977</v>
      </c>
      <c r="T8" s="17">
        <f>MAX(N5,N7:N13,N31:N48,N50:N54,N57,N59,N61,N63,N92)</f>
        <v>1.1249999999999998</v>
      </c>
    </row>
    <row r="9" spans="1:20" s="4" customFormat="1" x14ac:dyDescent="0.3">
      <c r="A9" s="4" t="s">
        <v>464</v>
      </c>
      <c r="B9" s="4" t="s">
        <v>447</v>
      </c>
      <c r="C9" s="4" t="s">
        <v>461</v>
      </c>
      <c r="D9" s="5">
        <v>42768</v>
      </c>
      <c r="E9" s="6"/>
      <c r="F9" s="4" t="s">
        <v>487</v>
      </c>
      <c r="G9" s="4" t="s">
        <v>488</v>
      </c>
      <c r="H9" s="42" t="s">
        <v>11</v>
      </c>
      <c r="I9" s="4" t="s">
        <v>12</v>
      </c>
      <c r="J9" s="4">
        <v>0.5</v>
      </c>
      <c r="K9" s="4">
        <v>1.885</v>
      </c>
      <c r="L9" s="45">
        <v>1.1000000000000001</v>
      </c>
      <c r="M9" s="4">
        <v>0.26</v>
      </c>
      <c r="N9" s="47">
        <f t="shared" si="0"/>
        <v>1.0249999999999997</v>
      </c>
      <c r="P9" s="19" t="s">
        <v>656</v>
      </c>
      <c r="Q9" s="18">
        <f>AVERAGE(N2:N4,N6,N14:N30,N79:N87,N90:N91,N93:N94)</f>
        <v>1.0605588235294117</v>
      </c>
      <c r="R9" s="18">
        <f>STDEVA(N2:N4,N6,N14:N30,N79:N87,N90:N91,N93:N94)</f>
        <v>7.0889239759821782E-2</v>
      </c>
      <c r="S9" s="18">
        <f>MIN(N2:N4,N6,N14:N30,N79:N87,N90:N91,N93:N94)</f>
        <v>0.9209999999999996</v>
      </c>
      <c r="T9" s="18">
        <f>MAX(N2:N4,N6,N14:N30,N79:N87,N90:N91,N93:N94)</f>
        <v>1.224</v>
      </c>
    </row>
    <row r="10" spans="1:20" s="4" customFormat="1" x14ac:dyDescent="0.3">
      <c r="A10" s="4" t="s">
        <v>465</v>
      </c>
      <c r="B10" s="4" t="s">
        <v>447</v>
      </c>
      <c r="C10" s="4" t="s">
        <v>461</v>
      </c>
      <c r="D10" s="5">
        <v>42768</v>
      </c>
      <c r="E10" s="6"/>
      <c r="F10" s="4" t="s">
        <v>487</v>
      </c>
      <c r="G10" s="4" t="s">
        <v>488</v>
      </c>
      <c r="H10" s="42" t="s">
        <v>11</v>
      </c>
      <c r="I10" s="4" t="s">
        <v>12</v>
      </c>
      <c r="J10" s="4">
        <v>0.5</v>
      </c>
      <c r="K10" s="4">
        <v>1.885</v>
      </c>
      <c r="L10" s="45">
        <v>1.1000000000000001</v>
      </c>
      <c r="M10" s="4">
        <v>0.26</v>
      </c>
      <c r="N10" s="47">
        <f t="shared" si="0"/>
        <v>1.0249999999999997</v>
      </c>
    </row>
    <row r="11" spans="1:20" s="4" customFormat="1" x14ac:dyDescent="0.3">
      <c r="A11" s="4" t="s">
        <v>466</v>
      </c>
      <c r="B11" s="4" t="s">
        <v>447</v>
      </c>
      <c r="C11" s="4" t="s">
        <v>461</v>
      </c>
      <c r="D11" s="5">
        <v>42768</v>
      </c>
      <c r="E11" s="6"/>
      <c r="F11" s="4" t="s">
        <v>487</v>
      </c>
      <c r="G11" s="4" t="s">
        <v>488</v>
      </c>
      <c r="H11" s="42" t="s">
        <v>11</v>
      </c>
      <c r="I11" s="4" t="s">
        <v>12</v>
      </c>
      <c r="J11" s="4">
        <v>0.45</v>
      </c>
      <c r="K11" s="4">
        <v>1.885</v>
      </c>
      <c r="L11" s="45">
        <v>1.1000000000000001</v>
      </c>
      <c r="M11" s="4">
        <v>0.26</v>
      </c>
      <c r="N11" s="47">
        <f t="shared" si="0"/>
        <v>0.97499999999999987</v>
      </c>
    </row>
    <row r="12" spans="1:20" s="4" customFormat="1" x14ac:dyDescent="0.3">
      <c r="A12" s="4" t="s">
        <v>467</v>
      </c>
      <c r="B12" s="4" t="s">
        <v>447</v>
      </c>
      <c r="C12" s="4" t="s">
        <v>461</v>
      </c>
      <c r="D12" s="5">
        <v>42768</v>
      </c>
      <c r="E12" s="6"/>
      <c r="F12" s="4" t="s">
        <v>487</v>
      </c>
      <c r="G12" s="4" t="s">
        <v>488</v>
      </c>
      <c r="H12" s="42" t="s">
        <v>11</v>
      </c>
      <c r="I12" s="4" t="s">
        <v>12</v>
      </c>
      <c r="J12" s="4">
        <v>0.4</v>
      </c>
      <c r="K12" s="4">
        <v>1.885</v>
      </c>
      <c r="L12" s="45">
        <v>1.1000000000000001</v>
      </c>
      <c r="M12" s="4">
        <v>0.26</v>
      </c>
      <c r="N12" s="47">
        <f t="shared" si="0"/>
        <v>0.92500000000000004</v>
      </c>
    </row>
    <row r="13" spans="1:20" s="4" customFormat="1" x14ac:dyDescent="0.3">
      <c r="A13" s="4" t="s">
        <v>468</v>
      </c>
      <c r="B13" s="4" t="s">
        <v>447</v>
      </c>
      <c r="C13" s="4" t="s">
        <v>461</v>
      </c>
      <c r="D13" s="5">
        <v>42768</v>
      </c>
      <c r="E13" s="6"/>
      <c r="F13" s="4" t="s">
        <v>487</v>
      </c>
      <c r="G13" s="4" t="s">
        <v>488</v>
      </c>
      <c r="H13" s="42" t="s">
        <v>11</v>
      </c>
      <c r="I13" s="4" t="s">
        <v>12</v>
      </c>
      <c r="J13" s="4">
        <v>0.5</v>
      </c>
      <c r="K13" s="4">
        <v>1.885</v>
      </c>
      <c r="L13" s="45">
        <v>1.1000000000000001</v>
      </c>
      <c r="M13" s="4">
        <v>0.26</v>
      </c>
      <c r="N13" s="47">
        <f t="shared" si="0"/>
        <v>1.0249999999999997</v>
      </c>
    </row>
    <row r="14" spans="1:20" s="4" customFormat="1" x14ac:dyDescent="0.3">
      <c r="A14" s="4" t="s">
        <v>471</v>
      </c>
      <c r="B14" s="4" t="s">
        <v>447</v>
      </c>
      <c r="C14" s="4" t="s">
        <v>461</v>
      </c>
      <c r="D14" s="5">
        <v>42768</v>
      </c>
      <c r="E14" s="6"/>
      <c r="F14" s="4" t="s">
        <v>487</v>
      </c>
      <c r="G14" s="4" t="s">
        <v>488</v>
      </c>
      <c r="H14" s="42" t="s">
        <v>11</v>
      </c>
      <c r="I14" s="4" t="s">
        <v>456</v>
      </c>
      <c r="J14" s="4">
        <v>0.55000000000000004</v>
      </c>
      <c r="K14" s="4">
        <v>1.885</v>
      </c>
      <c r="L14" s="45">
        <v>1.1000000000000001</v>
      </c>
      <c r="M14" s="4">
        <v>0.26</v>
      </c>
      <c r="N14" s="46">
        <f t="shared" si="0"/>
        <v>1.075</v>
      </c>
    </row>
    <row r="15" spans="1:20" s="4" customFormat="1" x14ac:dyDescent="0.3">
      <c r="A15" s="4" t="s">
        <v>469</v>
      </c>
      <c r="B15" s="4" t="s">
        <v>447</v>
      </c>
      <c r="C15" s="4" t="s">
        <v>461</v>
      </c>
      <c r="D15" s="5">
        <v>42768</v>
      </c>
      <c r="E15" s="6"/>
      <c r="F15" s="4" t="s">
        <v>487</v>
      </c>
      <c r="G15" s="4" t="s">
        <v>488</v>
      </c>
      <c r="H15" s="42" t="s">
        <v>11</v>
      </c>
      <c r="I15" s="4" t="s">
        <v>456</v>
      </c>
      <c r="J15" s="4">
        <v>0.55000000000000004</v>
      </c>
      <c r="K15" s="4">
        <v>1.885</v>
      </c>
      <c r="L15" s="45">
        <v>1.1000000000000001</v>
      </c>
      <c r="M15" s="4">
        <v>0.26</v>
      </c>
      <c r="N15" s="46">
        <f t="shared" si="0"/>
        <v>1.075</v>
      </c>
    </row>
    <row r="16" spans="1:20" s="4" customFormat="1" x14ac:dyDescent="0.3">
      <c r="A16" s="4" t="s">
        <v>470</v>
      </c>
      <c r="B16" s="4" t="s">
        <v>447</v>
      </c>
      <c r="C16" s="4" t="s">
        <v>461</v>
      </c>
      <c r="D16" s="5">
        <v>42768</v>
      </c>
      <c r="E16" s="6"/>
      <c r="F16" s="4" t="s">
        <v>487</v>
      </c>
      <c r="G16" s="4" t="s">
        <v>488</v>
      </c>
      <c r="H16" s="42" t="s">
        <v>11</v>
      </c>
      <c r="I16" s="4" t="s">
        <v>456</v>
      </c>
      <c r="J16" s="4">
        <v>0.5</v>
      </c>
      <c r="K16" s="4">
        <v>1.885</v>
      </c>
      <c r="L16" s="45">
        <v>1.1000000000000001</v>
      </c>
      <c r="M16" s="4">
        <v>0.26</v>
      </c>
      <c r="N16" s="46">
        <f t="shared" si="0"/>
        <v>1.0249999999999997</v>
      </c>
    </row>
    <row r="17" spans="1:23" s="4" customFormat="1" x14ac:dyDescent="0.3">
      <c r="A17" s="4" t="s">
        <v>471</v>
      </c>
      <c r="B17" s="4" t="s">
        <v>447</v>
      </c>
      <c r="C17" s="4" t="s">
        <v>461</v>
      </c>
      <c r="D17" s="5">
        <v>42768</v>
      </c>
      <c r="E17" s="6"/>
      <c r="F17" s="4" t="s">
        <v>487</v>
      </c>
      <c r="G17" s="4" t="s">
        <v>488</v>
      </c>
      <c r="H17" s="42" t="s">
        <v>11</v>
      </c>
      <c r="I17" s="4" t="s">
        <v>456</v>
      </c>
      <c r="J17" s="4">
        <v>0.5</v>
      </c>
      <c r="K17" s="4">
        <v>1.885</v>
      </c>
      <c r="L17" s="45">
        <v>1.1000000000000001</v>
      </c>
      <c r="M17" s="4">
        <v>0.26</v>
      </c>
      <c r="N17" s="46">
        <f t="shared" si="0"/>
        <v>1.0249999999999997</v>
      </c>
    </row>
    <row r="18" spans="1:23" s="4" customFormat="1" x14ac:dyDescent="0.3">
      <c r="A18" s="4" t="s">
        <v>472</v>
      </c>
      <c r="B18" s="4" t="s">
        <v>447</v>
      </c>
      <c r="C18" s="4" t="s">
        <v>461</v>
      </c>
      <c r="D18" s="5">
        <v>42768</v>
      </c>
      <c r="E18" s="6"/>
      <c r="F18" s="4" t="s">
        <v>487</v>
      </c>
      <c r="G18" s="4" t="s">
        <v>488</v>
      </c>
      <c r="H18" s="42" t="s">
        <v>11</v>
      </c>
      <c r="I18" s="4" t="s">
        <v>456</v>
      </c>
      <c r="J18" s="4">
        <v>0.55000000000000004</v>
      </c>
      <c r="K18" s="4">
        <v>1.885</v>
      </c>
      <c r="L18" s="45">
        <v>1.1000000000000001</v>
      </c>
      <c r="M18" s="4">
        <v>0.26</v>
      </c>
      <c r="N18" s="46">
        <f t="shared" si="0"/>
        <v>1.075</v>
      </c>
    </row>
    <row r="19" spans="1:23" s="4" customFormat="1" x14ac:dyDescent="0.3">
      <c r="A19" s="4" t="s">
        <v>474</v>
      </c>
      <c r="B19" s="4" t="s">
        <v>447</v>
      </c>
      <c r="C19" s="4" t="s">
        <v>461</v>
      </c>
      <c r="D19" s="5">
        <v>42768</v>
      </c>
      <c r="E19" s="6"/>
      <c r="F19" s="4" t="s">
        <v>487</v>
      </c>
      <c r="G19" s="4" t="s">
        <v>488</v>
      </c>
      <c r="H19" s="42" t="s">
        <v>11</v>
      </c>
      <c r="I19" s="4" t="s">
        <v>456</v>
      </c>
      <c r="J19" s="4">
        <v>0.55000000000000004</v>
      </c>
      <c r="K19" s="4">
        <v>1.885</v>
      </c>
      <c r="L19" s="45">
        <v>1.1000000000000001</v>
      </c>
      <c r="M19" s="4">
        <v>0.26</v>
      </c>
      <c r="N19" s="46">
        <f t="shared" si="0"/>
        <v>1.075</v>
      </c>
    </row>
    <row r="20" spans="1:23" s="4" customFormat="1" x14ac:dyDescent="0.3">
      <c r="A20" s="4" t="s">
        <v>475</v>
      </c>
      <c r="B20" s="4" t="s">
        <v>447</v>
      </c>
      <c r="C20" s="4" t="s">
        <v>461</v>
      </c>
      <c r="D20" s="5">
        <v>42768</v>
      </c>
      <c r="E20" s="6"/>
      <c r="F20" s="4" t="s">
        <v>487</v>
      </c>
      <c r="G20" s="4" t="s">
        <v>488</v>
      </c>
      <c r="H20" s="42" t="s">
        <v>11</v>
      </c>
      <c r="I20" s="4" t="s">
        <v>456</v>
      </c>
      <c r="J20" s="4">
        <v>0.5</v>
      </c>
      <c r="K20" s="4">
        <v>1.885</v>
      </c>
      <c r="L20" s="45">
        <v>1.1000000000000001</v>
      </c>
      <c r="M20" s="4">
        <v>0.26</v>
      </c>
      <c r="N20" s="46">
        <f t="shared" si="0"/>
        <v>1.0249999999999997</v>
      </c>
    </row>
    <row r="21" spans="1:23" s="4" customFormat="1" x14ac:dyDescent="0.3">
      <c r="A21" s="4" t="s">
        <v>476</v>
      </c>
      <c r="B21" s="4" t="s">
        <v>447</v>
      </c>
      <c r="C21" s="4" t="s">
        <v>461</v>
      </c>
      <c r="D21" s="5">
        <v>42768</v>
      </c>
      <c r="E21" s="6"/>
      <c r="F21" s="4" t="s">
        <v>487</v>
      </c>
      <c r="G21" s="4" t="s">
        <v>488</v>
      </c>
      <c r="H21" s="42" t="s">
        <v>11</v>
      </c>
      <c r="I21" s="4" t="s">
        <v>456</v>
      </c>
      <c r="J21" s="4">
        <v>0.6</v>
      </c>
      <c r="K21" s="4">
        <v>1.885</v>
      </c>
      <c r="L21" s="45">
        <v>1.1000000000000001</v>
      </c>
      <c r="M21" s="4">
        <v>0.26</v>
      </c>
      <c r="N21" s="46">
        <f t="shared" si="0"/>
        <v>1.1249999999999998</v>
      </c>
    </row>
    <row r="22" spans="1:23" s="4" customFormat="1" x14ac:dyDescent="0.3">
      <c r="A22" s="4" t="s">
        <v>477</v>
      </c>
      <c r="B22" s="4" t="s">
        <v>447</v>
      </c>
      <c r="C22" s="4" t="s">
        <v>461</v>
      </c>
      <c r="D22" s="5">
        <v>42768</v>
      </c>
      <c r="E22" s="6"/>
      <c r="F22" s="4" t="s">
        <v>487</v>
      </c>
      <c r="G22" s="4" t="s">
        <v>488</v>
      </c>
      <c r="H22" s="42" t="s">
        <v>11</v>
      </c>
      <c r="I22" s="4" t="s">
        <v>456</v>
      </c>
      <c r="J22" s="4">
        <v>0.5</v>
      </c>
      <c r="K22" s="4">
        <v>1.885</v>
      </c>
      <c r="L22" s="45">
        <v>1.1000000000000001</v>
      </c>
      <c r="M22" s="4">
        <v>0.26</v>
      </c>
      <c r="N22" s="46">
        <f t="shared" si="0"/>
        <v>1.0249999999999997</v>
      </c>
    </row>
    <row r="23" spans="1:23" s="4" customFormat="1" x14ac:dyDescent="0.3">
      <c r="A23" s="4" t="s">
        <v>478</v>
      </c>
      <c r="B23" s="4" t="s">
        <v>447</v>
      </c>
      <c r="C23" s="4" t="s">
        <v>461</v>
      </c>
      <c r="D23" s="5">
        <v>42768</v>
      </c>
      <c r="E23" s="6">
        <v>0.57291666666666663</v>
      </c>
      <c r="F23" s="4" t="s">
        <v>487</v>
      </c>
      <c r="G23" s="4" t="s">
        <v>488</v>
      </c>
      <c r="H23" s="42" t="s">
        <v>11</v>
      </c>
      <c r="I23" s="4" t="s">
        <v>456</v>
      </c>
      <c r="J23" s="4">
        <v>0.55000000000000004</v>
      </c>
      <c r="K23" s="4">
        <v>1.885</v>
      </c>
      <c r="L23" s="45">
        <v>1.1000000000000001</v>
      </c>
      <c r="M23" s="4">
        <v>0.26</v>
      </c>
      <c r="N23" s="46">
        <f t="shared" si="0"/>
        <v>1.075</v>
      </c>
    </row>
    <row r="24" spans="1:23" s="7" customFormat="1" x14ac:dyDescent="0.3">
      <c r="A24" s="4" t="s">
        <v>455</v>
      </c>
      <c r="B24" s="4" t="s">
        <v>447</v>
      </c>
      <c r="C24" s="4" t="s">
        <v>461</v>
      </c>
      <c r="D24" s="5">
        <v>42768</v>
      </c>
      <c r="E24" s="6">
        <v>0.58124999999999993</v>
      </c>
      <c r="F24" s="4">
        <v>1657810</v>
      </c>
      <c r="G24" s="4">
        <v>5304041</v>
      </c>
      <c r="H24" s="42" t="s">
        <v>11</v>
      </c>
      <c r="I24" s="4" t="s">
        <v>456</v>
      </c>
      <c r="J24" s="4">
        <v>0.5</v>
      </c>
      <c r="K24" s="4">
        <v>1.7809999999999999</v>
      </c>
      <c r="L24" s="45">
        <v>1.1000000000000001</v>
      </c>
      <c r="M24" s="4">
        <v>0.26</v>
      </c>
      <c r="N24" s="46">
        <f t="shared" si="0"/>
        <v>0.9209999999999996</v>
      </c>
      <c r="O24" s="12">
        <f>AVERAGE(N24:N44)</f>
        <v>0.95433333333333281</v>
      </c>
      <c r="P24" s="4"/>
      <c r="Q24" s="4"/>
      <c r="R24" s="4"/>
      <c r="S24" s="4"/>
      <c r="T24" s="4"/>
      <c r="U24" s="4"/>
      <c r="V24" s="4"/>
      <c r="W24" s="4"/>
    </row>
    <row r="25" spans="1:23" s="7" customFormat="1" x14ac:dyDescent="0.3">
      <c r="A25" s="4" t="s">
        <v>457</v>
      </c>
      <c r="B25" s="4" t="s">
        <v>447</v>
      </c>
      <c r="C25" s="4" t="s">
        <v>461</v>
      </c>
      <c r="D25" s="5">
        <v>42768</v>
      </c>
      <c r="E25" s="6"/>
      <c r="F25" s="4" t="s">
        <v>489</v>
      </c>
      <c r="G25" s="4" t="s">
        <v>490</v>
      </c>
      <c r="H25" s="42" t="s">
        <v>11</v>
      </c>
      <c r="I25" s="4" t="s">
        <v>456</v>
      </c>
      <c r="J25" s="4">
        <v>0.6</v>
      </c>
      <c r="K25" s="4">
        <v>1.7809999999999999</v>
      </c>
      <c r="L25" s="45">
        <v>1.1000000000000001</v>
      </c>
      <c r="M25" s="4">
        <v>0.26</v>
      </c>
      <c r="N25" s="46">
        <f t="shared" si="0"/>
        <v>1.0209999999999997</v>
      </c>
      <c r="O25" s="4"/>
      <c r="P25" s="4"/>
      <c r="Q25" s="4"/>
      <c r="R25" s="4"/>
      <c r="S25" s="4"/>
      <c r="T25" s="4"/>
      <c r="U25" s="4"/>
      <c r="V25" s="4"/>
      <c r="W25" s="4"/>
    </row>
    <row r="26" spans="1:23" s="7" customFormat="1" x14ac:dyDescent="0.3">
      <c r="A26" s="4" t="s">
        <v>458</v>
      </c>
      <c r="B26" s="4" t="s">
        <v>447</v>
      </c>
      <c r="C26" s="4" t="s">
        <v>461</v>
      </c>
      <c r="D26" s="5">
        <v>42768</v>
      </c>
      <c r="E26" s="6"/>
      <c r="F26" s="4" t="s">
        <v>489</v>
      </c>
      <c r="G26" s="4" t="s">
        <v>490</v>
      </c>
      <c r="H26" s="42" t="s">
        <v>11</v>
      </c>
      <c r="I26" s="4" t="s">
        <v>456</v>
      </c>
      <c r="J26" s="4">
        <v>0.55000000000000004</v>
      </c>
      <c r="K26" s="4">
        <v>1.7809999999999999</v>
      </c>
      <c r="L26" s="45">
        <v>1.1000000000000001</v>
      </c>
      <c r="M26" s="4">
        <v>0.26</v>
      </c>
      <c r="N26" s="46">
        <f t="shared" si="0"/>
        <v>0.97099999999999986</v>
      </c>
      <c r="O26" s="4"/>
      <c r="P26" s="4"/>
      <c r="Q26" s="4"/>
      <c r="R26" s="4"/>
      <c r="S26" s="4"/>
      <c r="T26" s="4"/>
      <c r="U26" s="4"/>
      <c r="V26" s="4"/>
      <c r="W26" s="4"/>
    </row>
    <row r="27" spans="1:23" s="7" customFormat="1" x14ac:dyDescent="0.3">
      <c r="A27" s="4" t="s">
        <v>459</v>
      </c>
      <c r="B27" s="4" t="s">
        <v>447</v>
      </c>
      <c r="C27" s="4" t="s">
        <v>461</v>
      </c>
      <c r="D27" s="5">
        <v>42768</v>
      </c>
      <c r="E27" s="6"/>
      <c r="F27" s="4" t="s">
        <v>489</v>
      </c>
      <c r="G27" s="4" t="s">
        <v>490</v>
      </c>
      <c r="H27" s="42" t="s">
        <v>11</v>
      </c>
      <c r="I27" s="4" t="s">
        <v>456</v>
      </c>
      <c r="J27" s="4">
        <v>0.5</v>
      </c>
      <c r="K27" s="4">
        <v>1.7809999999999999</v>
      </c>
      <c r="L27" s="45">
        <v>1.1000000000000001</v>
      </c>
      <c r="M27" s="4">
        <v>0.26</v>
      </c>
      <c r="N27" s="46">
        <f t="shared" si="0"/>
        <v>0.9209999999999996</v>
      </c>
      <c r="O27" s="4"/>
      <c r="P27" s="4"/>
      <c r="Q27" s="4"/>
      <c r="R27" s="4"/>
      <c r="S27" s="4"/>
      <c r="T27" s="4"/>
      <c r="U27" s="4"/>
      <c r="V27" s="4"/>
      <c r="W27" s="4"/>
    </row>
    <row r="28" spans="1:23" s="7" customFormat="1" x14ac:dyDescent="0.3">
      <c r="A28" s="4" t="s">
        <v>460</v>
      </c>
      <c r="B28" s="4" t="s">
        <v>447</v>
      </c>
      <c r="C28" s="4" t="s">
        <v>461</v>
      </c>
      <c r="D28" s="5">
        <v>42768</v>
      </c>
      <c r="E28" s="6"/>
      <c r="F28" s="4" t="s">
        <v>489</v>
      </c>
      <c r="G28" s="4" t="s">
        <v>490</v>
      </c>
      <c r="H28" s="42" t="s">
        <v>11</v>
      </c>
      <c r="I28" s="4" t="s">
        <v>456</v>
      </c>
      <c r="J28" s="4">
        <v>0.5</v>
      </c>
      <c r="K28" s="4">
        <v>1.7809999999999999</v>
      </c>
      <c r="L28" s="45">
        <v>1.1000000000000001</v>
      </c>
      <c r="M28" s="4">
        <v>0.26</v>
      </c>
      <c r="N28" s="46">
        <f t="shared" si="0"/>
        <v>0.9209999999999996</v>
      </c>
      <c r="O28" s="4"/>
      <c r="P28" s="4"/>
      <c r="Q28" s="4"/>
      <c r="R28" s="4"/>
      <c r="S28" s="4"/>
      <c r="T28" s="4"/>
      <c r="U28" s="4"/>
      <c r="V28" s="4"/>
      <c r="W28" s="4"/>
    </row>
    <row r="29" spans="1:23" s="7" customFormat="1" x14ac:dyDescent="0.3">
      <c r="A29" s="4" t="s">
        <v>462</v>
      </c>
      <c r="B29" s="4" t="s">
        <v>447</v>
      </c>
      <c r="C29" s="4" t="s">
        <v>461</v>
      </c>
      <c r="D29" s="5">
        <v>42768</v>
      </c>
      <c r="E29" s="6"/>
      <c r="F29" s="4" t="s">
        <v>489</v>
      </c>
      <c r="G29" s="4" t="s">
        <v>490</v>
      </c>
      <c r="H29" s="42" t="s">
        <v>11</v>
      </c>
      <c r="I29" s="4" t="s">
        <v>456</v>
      </c>
      <c r="J29" s="4">
        <v>0.55000000000000004</v>
      </c>
      <c r="K29" s="4">
        <v>1.7809999999999999</v>
      </c>
      <c r="L29" s="45">
        <v>1.1000000000000001</v>
      </c>
      <c r="M29" s="4">
        <v>0.26</v>
      </c>
      <c r="N29" s="46">
        <f t="shared" si="0"/>
        <v>0.97099999999999986</v>
      </c>
      <c r="O29" s="4"/>
      <c r="P29" s="4"/>
      <c r="Q29" s="4"/>
      <c r="R29" s="4"/>
      <c r="S29" s="4"/>
      <c r="T29" s="4"/>
      <c r="U29" s="4"/>
      <c r="V29" s="4"/>
      <c r="W29" s="4"/>
    </row>
    <row r="30" spans="1:23" s="7" customFormat="1" x14ac:dyDescent="0.3">
      <c r="A30" s="4" t="s">
        <v>463</v>
      </c>
      <c r="B30" s="4" t="s">
        <v>447</v>
      </c>
      <c r="C30" s="4" t="s">
        <v>461</v>
      </c>
      <c r="D30" s="5">
        <v>42768</v>
      </c>
      <c r="E30" s="6"/>
      <c r="F30" s="4" t="s">
        <v>489</v>
      </c>
      <c r="G30" s="4" t="s">
        <v>490</v>
      </c>
      <c r="H30" s="42" t="s">
        <v>11</v>
      </c>
      <c r="I30" s="4" t="s">
        <v>456</v>
      </c>
      <c r="J30" s="4">
        <v>0.6</v>
      </c>
      <c r="K30" s="4">
        <v>1.7809999999999999</v>
      </c>
      <c r="L30" s="45">
        <v>1.1000000000000001</v>
      </c>
      <c r="M30" s="4">
        <v>0.26</v>
      </c>
      <c r="N30" s="46">
        <f t="shared" si="0"/>
        <v>1.0209999999999997</v>
      </c>
      <c r="O30" s="4"/>
      <c r="P30" s="4"/>
      <c r="Q30" s="4"/>
      <c r="R30" s="4"/>
      <c r="S30" s="4"/>
      <c r="T30" s="4"/>
      <c r="U30" s="4"/>
      <c r="V30" s="4"/>
      <c r="W30" s="4"/>
    </row>
    <row r="31" spans="1:23" s="7" customFormat="1" x14ac:dyDescent="0.3">
      <c r="A31" s="4" t="s">
        <v>464</v>
      </c>
      <c r="B31" s="4" t="s">
        <v>447</v>
      </c>
      <c r="C31" s="4" t="s">
        <v>461</v>
      </c>
      <c r="D31" s="5">
        <v>42768</v>
      </c>
      <c r="E31" s="6"/>
      <c r="F31" s="4" t="s">
        <v>489</v>
      </c>
      <c r="G31" s="4" t="s">
        <v>490</v>
      </c>
      <c r="H31" s="42" t="s">
        <v>11</v>
      </c>
      <c r="I31" s="4" t="s">
        <v>12</v>
      </c>
      <c r="J31" s="4">
        <v>0.55000000000000004</v>
      </c>
      <c r="K31" s="4">
        <v>1.7809999999999999</v>
      </c>
      <c r="L31" s="45">
        <v>1.1000000000000001</v>
      </c>
      <c r="M31" s="4">
        <v>0.26</v>
      </c>
      <c r="N31" s="47">
        <f t="shared" si="0"/>
        <v>0.97099999999999986</v>
      </c>
      <c r="O31" s="4"/>
      <c r="P31" s="4"/>
      <c r="Q31" s="4"/>
      <c r="R31" s="4"/>
      <c r="S31" s="4"/>
      <c r="T31" s="4"/>
      <c r="U31" s="4"/>
      <c r="V31" s="4"/>
      <c r="W31" s="4"/>
    </row>
    <row r="32" spans="1:23" s="7" customFormat="1" x14ac:dyDescent="0.3">
      <c r="A32" s="4" t="s">
        <v>465</v>
      </c>
      <c r="B32" s="4" t="s">
        <v>447</v>
      </c>
      <c r="C32" s="4" t="s">
        <v>461</v>
      </c>
      <c r="D32" s="5">
        <v>42768</v>
      </c>
      <c r="E32" s="6"/>
      <c r="F32" s="4" t="s">
        <v>489</v>
      </c>
      <c r="G32" s="4" t="s">
        <v>490</v>
      </c>
      <c r="H32" s="42" t="s">
        <v>11</v>
      </c>
      <c r="I32" s="4" t="s">
        <v>12</v>
      </c>
      <c r="J32" s="4">
        <v>0.6</v>
      </c>
      <c r="K32" s="4">
        <v>1.7809999999999999</v>
      </c>
      <c r="L32" s="45">
        <v>1.1000000000000001</v>
      </c>
      <c r="M32" s="4">
        <v>0.26</v>
      </c>
      <c r="N32" s="47">
        <f t="shared" si="0"/>
        <v>1.0209999999999997</v>
      </c>
      <c r="O32" s="4"/>
      <c r="P32" s="4"/>
      <c r="Q32" s="4"/>
      <c r="R32" s="4"/>
      <c r="S32" s="4"/>
      <c r="T32" s="4"/>
      <c r="U32" s="4"/>
      <c r="V32" s="4"/>
      <c r="W32" s="4"/>
    </row>
    <row r="33" spans="1:23" s="7" customFormat="1" x14ac:dyDescent="0.3">
      <c r="A33" s="4" t="s">
        <v>466</v>
      </c>
      <c r="B33" s="4" t="s">
        <v>447</v>
      </c>
      <c r="C33" s="4" t="s">
        <v>461</v>
      </c>
      <c r="D33" s="5">
        <v>42768</v>
      </c>
      <c r="E33" s="6"/>
      <c r="F33" s="4" t="s">
        <v>489</v>
      </c>
      <c r="G33" s="4" t="s">
        <v>490</v>
      </c>
      <c r="H33" s="42" t="s">
        <v>11</v>
      </c>
      <c r="I33" s="4" t="s">
        <v>12</v>
      </c>
      <c r="J33" s="4">
        <v>0.6</v>
      </c>
      <c r="K33" s="4">
        <v>1.7809999999999999</v>
      </c>
      <c r="L33" s="45">
        <v>1.1000000000000001</v>
      </c>
      <c r="M33" s="4">
        <v>0.26</v>
      </c>
      <c r="N33" s="47">
        <f t="shared" si="0"/>
        <v>1.0209999999999997</v>
      </c>
      <c r="O33" s="4"/>
      <c r="P33" s="4"/>
      <c r="Q33" s="4"/>
      <c r="R33" s="4"/>
      <c r="S33" s="4"/>
      <c r="T33" s="4"/>
      <c r="U33" s="4"/>
      <c r="V33" s="4"/>
      <c r="W33" s="4"/>
    </row>
    <row r="34" spans="1:23" s="7" customFormat="1" x14ac:dyDescent="0.3">
      <c r="A34" s="4" t="s">
        <v>467</v>
      </c>
      <c r="B34" s="4" t="s">
        <v>447</v>
      </c>
      <c r="C34" s="4" t="s">
        <v>461</v>
      </c>
      <c r="D34" s="5">
        <v>42768</v>
      </c>
      <c r="E34" s="6"/>
      <c r="F34" s="4" t="s">
        <v>489</v>
      </c>
      <c r="G34" s="4" t="s">
        <v>490</v>
      </c>
      <c r="H34" s="42" t="s">
        <v>11</v>
      </c>
      <c r="I34" s="4" t="s">
        <v>12</v>
      </c>
      <c r="J34" s="4">
        <v>0.55000000000000004</v>
      </c>
      <c r="K34" s="4">
        <v>1.7809999999999999</v>
      </c>
      <c r="L34" s="45">
        <v>1.1000000000000001</v>
      </c>
      <c r="M34" s="4">
        <v>0.26</v>
      </c>
      <c r="N34" s="47">
        <f t="shared" ref="N34:N65" si="1">SUM(J34:K34)-L34-M34</f>
        <v>0.97099999999999986</v>
      </c>
      <c r="O34" s="4"/>
      <c r="P34" s="4"/>
      <c r="Q34" s="4"/>
      <c r="R34" s="4"/>
      <c r="S34" s="4"/>
      <c r="T34" s="4"/>
      <c r="U34" s="4"/>
      <c r="V34" s="4"/>
      <c r="W34" s="4"/>
    </row>
    <row r="35" spans="1:23" s="7" customFormat="1" x14ac:dyDescent="0.3">
      <c r="A35" s="4" t="s">
        <v>468</v>
      </c>
      <c r="B35" s="4" t="s">
        <v>447</v>
      </c>
      <c r="C35" s="4" t="s">
        <v>461</v>
      </c>
      <c r="D35" s="5">
        <v>42768</v>
      </c>
      <c r="E35" s="6"/>
      <c r="F35" s="4" t="s">
        <v>489</v>
      </c>
      <c r="G35" s="4" t="s">
        <v>490</v>
      </c>
      <c r="H35" s="42" t="s">
        <v>11</v>
      </c>
      <c r="I35" s="4" t="s">
        <v>12</v>
      </c>
      <c r="J35" s="4">
        <v>0.6</v>
      </c>
      <c r="K35" s="4">
        <v>1.7809999999999999</v>
      </c>
      <c r="L35" s="45">
        <v>1.1000000000000001</v>
      </c>
      <c r="M35" s="4">
        <v>0.26</v>
      </c>
      <c r="N35" s="47">
        <f t="shared" si="1"/>
        <v>1.0209999999999997</v>
      </c>
      <c r="O35" s="4"/>
      <c r="P35" s="4"/>
      <c r="Q35" s="4"/>
      <c r="R35" s="4"/>
      <c r="S35" s="4"/>
      <c r="T35" s="4"/>
      <c r="U35" s="4"/>
      <c r="V35" s="4"/>
      <c r="W35" s="4"/>
    </row>
    <row r="36" spans="1:23" s="7" customFormat="1" x14ac:dyDescent="0.3">
      <c r="A36" s="4" t="s">
        <v>469</v>
      </c>
      <c r="B36" s="4" t="s">
        <v>447</v>
      </c>
      <c r="C36" s="4" t="s">
        <v>461</v>
      </c>
      <c r="D36" s="5">
        <v>42768</v>
      </c>
      <c r="E36" s="6"/>
      <c r="F36" s="4" t="s">
        <v>489</v>
      </c>
      <c r="G36" s="4" t="s">
        <v>490</v>
      </c>
      <c r="H36" s="42" t="s">
        <v>11</v>
      </c>
      <c r="I36" s="4" t="s">
        <v>12</v>
      </c>
      <c r="J36" s="4">
        <v>0.5</v>
      </c>
      <c r="K36" s="4">
        <v>1.7809999999999999</v>
      </c>
      <c r="L36" s="45">
        <v>1.1000000000000001</v>
      </c>
      <c r="M36" s="4">
        <v>0.26</v>
      </c>
      <c r="N36" s="47">
        <f t="shared" si="1"/>
        <v>0.9209999999999996</v>
      </c>
      <c r="O36" s="4"/>
      <c r="P36" s="4"/>
      <c r="Q36" s="4"/>
      <c r="R36" s="4"/>
      <c r="S36" s="4"/>
      <c r="T36" s="4"/>
      <c r="U36" s="4"/>
      <c r="V36" s="4"/>
      <c r="W36" s="4"/>
    </row>
    <row r="37" spans="1:23" s="7" customFormat="1" x14ac:dyDescent="0.3">
      <c r="A37" s="4" t="s">
        <v>470</v>
      </c>
      <c r="B37" s="4" t="s">
        <v>447</v>
      </c>
      <c r="C37" s="4" t="s">
        <v>461</v>
      </c>
      <c r="D37" s="5">
        <v>42768</v>
      </c>
      <c r="E37" s="6"/>
      <c r="F37" s="4" t="s">
        <v>489</v>
      </c>
      <c r="G37" s="4" t="s">
        <v>490</v>
      </c>
      <c r="H37" s="42" t="s">
        <v>11</v>
      </c>
      <c r="I37" s="4" t="s">
        <v>12</v>
      </c>
      <c r="J37" s="4">
        <v>0.55000000000000004</v>
      </c>
      <c r="K37" s="4">
        <v>1.7809999999999999</v>
      </c>
      <c r="L37" s="45">
        <v>1.1000000000000001</v>
      </c>
      <c r="M37" s="4">
        <v>0.26</v>
      </c>
      <c r="N37" s="47">
        <f t="shared" si="1"/>
        <v>0.97099999999999986</v>
      </c>
      <c r="O37" s="4"/>
      <c r="P37" s="4"/>
      <c r="Q37" s="4"/>
      <c r="R37" s="4"/>
      <c r="S37" s="4"/>
      <c r="T37" s="4"/>
      <c r="U37" s="4"/>
      <c r="V37" s="4"/>
      <c r="W37" s="4"/>
    </row>
    <row r="38" spans="1:23" s="7" customFormat="1" x14ac:dyDescent="0.3">
      <c r="A38" s="4" t="s">
        <v>471</v>
      </c>
      <c r="B38" s="4" t="s">
        <v>447</v>
      </c>
      <c r="C38" s="4" t="s">
        <v>461</v>
      </c>
      <c r="D38" s="5">
        <v>42768</v>
      </c>
      <c r="E38" s="6"/>
      <c r="F38" s="4" t="s">
        <v>489</v>
      </c>
      <c r="G38" s="4" t="s">
        <v>490</v>
      </c>
      <c r="H38" s="42" t="s">
        <v>11</v>
      </c>
      <c r="I38" s="4" t="s">
        <v>12</v>
      </c>
      <c r="J38" s="4">
        <v>0.5</v>
      </c>
      <c r="K38" s="4">
        <v>1.7809999999999999</v>
      </c>
      <c r="L38" s="45">
        <v>1.1000000000000001</v>
      </c>
      <c r="M38" s="4">
        <v>0.26</v>
      </c>
      <c r="N38" s="47">
        <f t="shared" si="1"/>
        <v>0.9209999999999996</v>
      </c>
      <c r="O38" s="4"/>
      <c r="P38" s="4"/>
      <c r="Q38" s="4"/>
      <c r="R38" s="4"/>
      <c r="S38" s="4"/>
      <c r="T38" s="4"/>
      <c r="U38" s="4"/>
      <c r="V38" s="4"/>
      <c r="W38" s="4"/>
    </row>
    <row r="39" spans="1:23" s="7" customFormat="1" x14ac:dyDescent="0.3">
      <c r="A39" s="4" t="s">
        <v>472</v>
      </c>
      <c r="B39" s="4" t="s">
        <v>447</v>
      </c>
      <c r="C39" s="4" t="s">
        <v>461</v>
      </c>
      <c r="D39" s="5">
        <v>42768</v>
      </c>
      <c r="E39" s="6"/>
      <c r="F39" s="4" t="s">
        <v>489</v>
      </c>
      <c r="G39" s="4" t="s">
        <v>490</v>
      </c>
      <c r="H39" s="42" t="s">
        <v>11</v>
      </c>
      <c r="I39" s="4" t="s">
        <v>12</v>
      </c>
      <c r="J39" s="4">
        <v>0.5</v>
      </c>
      <c r="K39" s="4">
        <v>1.7809999999999999</v>
      </c>
      <c r="L39" s="45">
        <v>1.1000000000000001</v>
      </c>
      <c r="M39" s="4">
        <v>0.26</v>
      </c>
      <c r="N39" s="47">
        <f t="shared" si="1"/>
        <v>0.9209999999999996</v>
      </c>
      <c r="O39" s="4"/>
      <c r="P39" s="4"/>
      <c r="Q39" s="4"/>
      <c r="R39" s="4"/>
      <c r="S39" s="4"/>
      <c r="T39" s="4"/>
      <c r="U39" s="4"/>
      <c r="V39" s="4"/>
      <c r="W39" s="4"/>
    </row>
    <row r="40" spans="1:23" s="7" customFormat="1" x14ac:dyDescent="0.3">
      <c r="A40" s="4" t="s">
        <v>474</v>
      </c>
      <c r="B40" s="4" t="s">
        <v>447</v>
      </c>
      <c r="C40" s="4" t="s">
        <v>461</v>
      </c>
      <c r="D40" s="5">
        <v>42768</v>
      </c>
      <c r="E40" s="6"/>
      <c r="F40" s="4" t="s">
        <v>489</v>
      </c>
      <c r="G40" s="4" t="s">
        <v>490</v>
      </c>
      <c r="H40" s="42" t="s">
        <v>11</v>
      </c>
      <c r="I40" s="4" t="s">
        <v>12</v>
      </c>
      <c r="J40" s="4">
        <v>0.5</v>
      </c>
      <c r="K40" s="4">
        <v>1.7809999999999999</v>
      </c>
      <c r="L40" s="45">
        <v>1.1000000000000001</v>
      </c>
      <c r="M40" s="4">
        <v>0.26</v>
      </c>
      <c r="N40" s="47">
        <f t="shared" si="1"/>
        <v>0.9209999999999996</v>
      </c>
      <c r="O40" s="4"/>
      <c r="P40" s="4"/>
      <c r="Q40" s="4"/>
      <c r="R40" s="4"/>
      <c r="S40" s="4"/>
      <c r="T40" s="4"/>
      <c r="U40" s="4"/>
      <c r="V40" s="4"/>
      <c r="W40" s="4"/>
    </row>
    <row r="41" spans="1:23" s="7" customFormat="1" x14ac:dyDescent="0.3">
      <c r="A41" s="4" t="s">
        <v>475</v>
      </c>
      <c r="B41" s="4" t="s">
        <v>447</v>
      </c>
      <c r="C41" s="4" t="s">
        <v>461</v>
      </c>
      <c r="D41" s="5">
        <v>42768</v>
      </c>
      <c r="E41" s="6"/>
      <c r="F41" s="4" t="s">
        <v>489</v>
      </c>
      <c r="G41" s="4" t="s">
        <v>490</v>
      </c>
      <c r="H41" s="42" t="s">
        <v>11</v>
      </c>
      <c r="I41" s="4" t="s">
        <v>12</v>
      </c>
      <c r="J41" s="4">
        <v>0.45</v>
      </c>
      <c r="K41" s="4">
        <v>1.7809999999999999</v>
      </c>
      <c r="L41" s="45">
        <v>1.1000000000000001</v>
      </c>
      <c r="M41" s="4">
        <v>0.26</v>
      </c>
      <c r="N41" s="47">
        <f t="shared" si="1"/>
        <v>0.87099999999999977</v>
      </c>
      <c r="O41" s="4"/>
      <c r="P41" s="4"/>
      <c r="Q41" s="4"/>
      <c r="R41" s="4"/>
      <c r="S41" s="4"/>
      <c r="T41" s="4"/>
      <c r="U41" s="4"/>
      <c r="V41" s="4"/>
      <c r="W41" s="4"/>
    </row>
    <row r="42" spans="1:23" s="7" customFormat="1" x14ac:dyDescent="0.3">
      <c r="A42" s="4" t="s">
        <v>476</v>
      </c>
      <c r="B42" s="4" t="s">
        <v>447</v>
      </c>
      <c r="C42" s="4" t="s">
        <v>461</v>
      </c>
      <c r="D42" s="5">
        <v>42768</v>
      </c>
      <c r="E42" s="6"/>
      <c r="F42" s="4" t="s">
        <v>489</v>
      </c>
      <c r="G42" s="4" t="s">
        <v>490</v>
      </c>
      <c r="H42" s="42" t="s">
        <v>11</v>
      </c>
      <c r="I42" s="4" t="s">
        <v>12</v>
      </c>
      <c r="J42" s="4">
        <v>0.5</v>
      </c>
      <c r="K42" s="4">
        <v>1.7809999999999999</v>
      </c>
      <c r="L42" s="45">
        <v>1.1000000000000001</v>
      </c>
      <c r="M42" s="4">
        <v>0.26</v>
      </c>
      <c r="N42" s="47">
        <f t="shared" si="1"/>
        <v>0.9209999999999996</v>
      </c>
      <c r="O42" s="4"/>
      <c r="P42" s="4"/>
      <c r="Q42" s="4"/>
      <c r="R42" s="4"/>
      <c r="S42" s="4"/>
      <c r="T42" s="4"/>
      <c r="U42" s="4"/>
      <c r="V42" s="4"/>
      <c r="W42" s="4"/>
    </row>
    <row r="43" spans="1:23" s="7" customFormat="1" x14ac:dyDescent="0.3">
      <c r="A43" s="4" t="s">
        <v>477</v>
      </c>
      <c r="B43" s="4" t="s">
        <v>447</v>
      </c>
      <c r="C43" s="4" t="s">
        <v>461</v>
      </c>
      <c r="D43" s="5">
        <v>42768</v>
      </c>
      <c r="E43" s="6"/>
      <c r="F43" s="4" t="s">
        <v>489</v>
      </c>
      <c r="G43" s="4" t="s">
        <v>490</v>
      </c>
      <c r="H43" s="42" t="s">
        <v>11</v>
      </c>
      <c r="I43" s="4" t="s">
        <v>12</v>
      </c>
      <c r="J43" s="4">
        <v>0.5</v>
      </c>
      <c r="K43" s="4">
        <v>1.7809999999999999</v>
      </c>
      <c r="L43" s="45">
        <v>1.1000000000000001</v>
      </c>
      <c r="M43" s="4">
        <v>0.26</v>
      </c>
      <c r="N43" s="47">
        <f t="shared" si="1"/>
        <v>0.9209999999999996</v>
      </c>
      <c r="O43" s="4"/>
      <c r="P43" s="4"/>
      <c r="Q43" s="4"/>
      <c r="R43" s="4"/>
      <c r="S43" s="4"/>
      <c r="T43" s="4"/>
      <c r="U43" s="4"/>
      <c r="V43" s="4"/>
      <c r="W43" s="4"/>
    </row>
    <row r="44" spans="1:23" s="7" customFormat="1" x14ac:dyDescent="0.3">
      <c r="A44" s="4" t="s">
        <v>478</v>
      </c>
      <c r="B44" s="4" t="s">
        <v>447</v>
      </c>
      <c r="C44" s="4" t="s">
        <v>461</v>
      </c>
      <c r="D44" s="5">
        <v>42768</v>
      </c>
      <c r="E44" s="6">
        <v>0.59027777777777779</v>
      </c>
      <c r="F44" s="4" t="s">
        <v>489</v>
      </c>
      <c r="G44" s="4" t="s">
        <v>490</v>
      </c>
      <c r="H44" s="42" t="s">
        <v>11</v>
      </c>
      <c r="I44" s="4" t="s">
        <v>12</v>
      </c>
      <c r="J44" s="4">
        <v>0.5</v>
      </c>
      <c r="K44" s="4">
        <v>1.7809999999999999</v>
      </c>
      <c r="L44" s="45">
        <v>1.1000000000000001</v>
      </c>
      <c r="M44" s="4">
        <v>0.26</v>
      </c>
      <c r="N44" s="47">
        <f t="shared" si="1"/>
        <v>0.9209999999999996</v>
      </c>
      <c r="O44" s="4"/>
      <c r="P44" s="4"/>
      <c r="Q44" s="4"/>
      <c r="R44" s="4"/>
      <c r="S44" s="4"/>
      <c r="T44" s="4"/>
      <c r="U44" s="4"/>
      <c r="V44" s="4"/>
      <c r="W44" s="4"/>
    </row>
    <row r="45" spans="1:23" s="4" customFormat="1" x14ac:dyDescent="0.3">
      <c r="A45" s="4" t="s">
        <v>455</v>
      </c>
      <c r="B45" s="4" t="s">
        <v>447</v>
      </c>
      <c r="C45" s="4" t="s">
        <v>689</v>
      </c>
      <c r="D45" s="5">
        <v>42768</v>
      </c>
      <c r="E45" s="6">
        <v>0.56597222222222221</v>
      </c>
      <c r="F45" s="4">
        <v>1657711</v>
      </c>
      <c r="G45" s="4">
        <v>5304052</v>
      </c>
      <c r="H45" s="42" t="s">
        <v>11</v>
      </c>
      <c r="I45" s="4" t="s">
        <v>12</v>
      </c>
      <c r="J45" s="4">
        <v>0.52</v>
      </c>
      <c r="K45" s="4">
        <v>1.8480000000000001</v>
      </c>
      <c r="L45" s="45">
        <v>1.1000000000000001</v>
      </c>
      <c r="M45" s="4">
        <v>0.26</v>
      </c>
      <c r="N45" s="47">
        <f t="shared" si="1"/>
        <v>1.0080000000000002</v>
      </c>
      <c r="O45" s="12">
        <f>AVERAGE(N45:N63)</f>
        <v>0.989578947368421</v>
      </c>
    </row>
    <row r="46" spans="1:23" s="4" customFormat="1" x14ac:dyDescent="0.3">
      <c r="A46" s="4" t="s">
        <v>457</v>
      </c>
      <c r="B46" s="4" t="s">
        <v>447</v>
      </c>
      <c r="C46" s="4" t="s">
        <v>689</v>
      </c>
      <c r="D46" s="5">
        <v>42768</v>
      </c>
      <c r="E46" s="6"/>
      <c r="F46" s="4">
        <v>1657711</v>
      </c>
      <c r="G46" s="4">
        <v>5304052</v>
      </c>
      <c r="H46" s="42" t="s">
        <v>11</v>
      </c>
      <c r="I46" s="4" t="s">
        <v>12</v>
      </c>
      <c r="J46" s="4">
        <v>0.42</v>
      </c>
      <c r="K46" s="4">
        <v>1.8480000000000001</v>
      </c>
      <c r="L46" s="45">
        <v>1.1000000000000001</v>
      </c>
      <c r="M46" s="4">
        <v>0.26</v>
      </c>
      <c r="N46" s="47">
        <f t="shared" si="1"/>
        <v>0.90800000000000014</v>
      </c>
    </row>
    <row r="47" spans="1:23" s="4" customFormat="1" x14ac:dyDescent="0.3">
      <c r="A47" s="4" t="s">
        <v>458</v>
      </c>
      <c r="B47" s="4" t="s">
        <v>447</v>
      </c>
      <c r="C47" s="4" t="s">
        <v>689</v>
      </c>
      <c r="D47" s="5">
        <v>42768</v>
      </c>
      <c r="E47" s="6"/>
      <c r="F47" s="4">
        <v>1657711</v>
      </c>
      <c r="G47" s="4">
        <v>5304052</v>
      </c>
      <c r="H47" s="42" t="s">
        <v>11</v>
      </c>
      <c r="I47" s="4" t="s">
        <v>12</v>
      </c>
      <c r="J47" s="4">
        <v>0.5</v>
      </c>
      <c r="K47" s="4">
        <v>1.8480000000000001</v>
      </c>
      <c r="L47" s="45">
        <v>1.1000000000000001</v>
      </c>
      <c r="M47" s="4">
        <v>0.26</v>
      </c>
      <c r="N47" s="47">
        <f t="shared" si="1"/>
        <v>0.98799999999999977</v>
      </c>
    </row>
    <row r="48" spans="1:23" s="4" customFormat="1" x14ac:dyDescent="0.3">
      <c r="A48" s="4" t="s">
        <v>459</v>
      </c>
      <c r="B48" s="4" t="s">
        <v>447</v>
      </c>
      <c r="C48" s="4" t="s">
        <v>689</v>
      </c>
      <c r="D48" s="5">
        <v>42768</v>
      </c>
      <c r="E48" s="6"/>
      <c r="F48" s="4">
        <v>1657711</v>
      </c>
      <c r="G48" s="4">
        <v>5304052</v>
      </c>
      <c r="H48" s="42" t="s">
        <v>11</v>
      </c>
      <c r="I48" s="4" t="s">
        <v>12</v>
      </c>
      <c r="J48" s="4">
        <v>0.53</v>
      </c>
      <c r="K48" s="4">
        <v>1.8480000000000001</v>
      </c>
      <c r="L48" s="45">
        <v>1.1000000000000001</v>
      </c>
      <c r="M48" s="4">
        <v>0.26</v>
      </c>
      <c r="N48" s="47">
        <f t="shared" si="1"/>
        <v>1.018</v>
      </c>
    </row>
    <row r="49" spans="1:23" s="4" customFormat="1" x14ac:dyDescent="0.3">
      <c r="A49" s="4" t="s">
        <v>460</v>
      </c>
      <c r="B49" s="4" t="s">
        <v>447</v>
      </c>
      <c r="C49" s="4" t="s">
        <v>689</v>
      </c>
      <c r="D49" s="5">
        <v>42768</v>
      </c>
      <c r="E49" s="6"/>
      <c r="F49" s="4">
        <v>1657711</v>
      </c>
      <c r="G49" s="4">
        <v>5304052</v>
      </c>
      <c r="H49" s="42" t="s">
        <v>13</v>
      </c>
      <c r="I49" s="4" t="s">
        <v>12</v>
      </c>
      <c r="J49" s="4">
        <v>0.54</v>
      </c>
      <c r="K49" s="4">
        <v>1.8480000000000001</v>
      </c>
      <c r="L49" s="45">
        <v>1.1000000000000001</v>
      </c>
      <c r="M49" s="4">
        <v>0.38</v>
      </c>
      <c r="N49" s="48">
        <f t="shared" si="1"/>
        <v>0.90799999999999981</v>
      </c>
    </row>
    <row r="50" spans="1:23" s="4" customFormat="1" x14ac:dyDescent="0.3">
      <c r="A50" s="4" t="s">
        <v>462</v>
      </c>
      <c r="B50" s="4" t="s">
        <v>447</v>
      </c>
      <c r="C50" s="4" t="s">
        <v>689</v>
      </c>
      <c r="D50" s="5">
        <v>42768</v>
      </c>
      <c r="E50" s="6"/>
      <c r="F50" s="4">
        <v>1657711</v>
      </c>
      <c r="G50" s="4">
        <v>5304052</v>
      </c>
      <c r="H50" s="42" t="s">
        <v>11</v>
      </c>
      <c r="I50" s="4" t="s">
        <v>12</v>
      </c>
      <c r="J50" s="4">
        <v>0.4</v>
      </c>
      <c r="K50" s="4">
        <v>1.8480000000000001</v>
      </c>
      <c r="L50" s="45">
        <v>1.1000000000000001</v>
      </c>
      <c r="M50" s="4">
        <v>0.26</v>
      </c>
      <c r="N50" s="47">
        <f t="shared" si="1"/>
        <v>0.88800000000000012</v>
      </c>
    </row>
    <row r="51" spans="1:23" s="4" customFormat="1" x14ac:dyDescent="0.3">
      <c r="A51" s="4" t="s">
        <v>463</v>
      </c>
      <c r="B51" s="4" t="s">
        <v>447</v>
      </c>
      <c r="C51" s="4" t="s">
        <v>689</v>
      </c>
      <c r="D51" s="5">
        <v>42768</v>
      </c>
      <c r="E51" s="6"/>
      <c r="F51" s="4">
        <v>1657711</v>
      </c>
      <c r="G51" s="4">
        <v>5304052</v>
      </c>
      <c r="H51" s="42" t="s">
        <v>11</v>
      </c>
      <c r="I51" s="4" t="s">
        <v>12</v>
      </c>
      <c r="J51" s="4">
        <v>0.5</v>
      </c>
      <c r="K51" s="4">
        <v>1.8480000000000001</v>
      </c>
      <c r="L51" s="45">
        <v>1.1000000000000001</v>
      </c>
      <c r="M51" s="4">
        <v>0.26</v>
      </c>
      <c r="N51" s="47">
        <f t="shared" si="1"/>
        <v>0.98799999999999977</v>
      </c>
    </row>
    <row r="52" spans="1:23" s="4" customFormat="1" x14ac:dyDescent="0.3">
      <c r="A52" s="4" t="s">
        <v>464</v>
      </c>
      <c r="B52" s="4" t="s">
        <v>447</v>
      </c>
      <c r="C52" s="4" t="s">
        <v>689</v>
      </c>
      <c r="D52" s="5">
        <v>42768</v>
      </c>
      <c r="E52" s="6"/>
      <c r="F52" s="4">
        <v>1657711</v>
      </c>
      <c r="G52" s="4">
        <v>5304052</v>
      </c>
      <c r="H52" s="42" t="s">
        <v>11</v>
      </c>
      <c r="I52" s="4" t="s">
        <v>12</v>
      </c>
      <c r="J52" s="4">
        <v>0.46</v>
      </c>
      <c r="K52" s="4">
        <v>1.8480000000000001</v>
      </c>
      <c r="L52" s="45">
        <v>1.1000000000000001</v>
      </c>
      <c r="M52" s="4">
        <v>0.26</v>
      </c>
      <c r="N52" s="47">
        <f t="shared" si="1"/>
        <v>0.94800000000000018</v>
      </c>
    </row>
    <row r="53" spans="1:23" s="4" customFormat="1" x14ac:dyDescent="0.3">
      <c r="A53" s="4" t="s">
        <v>465</v>
      </c>
      <c r="B53" s="4" t="s">
        <v>447</v>
      </c>
      <c r="C53" s="4" t="s">
        <v>689</v>
      </c>
      <c r="D53" s="5">
        <v>42768</v>
      </c>
      <c r="E53" s="6"/>
      <c r="F53" s="4">
        <v>1657711</v>
      </c>
      <c r="G53" s="4">
        <v>5304052</v>
      </c>
      <c r="H53" s="42" t="s">
        <v>11</v>
      </c>
      <c r="I53" s="4" t="s">
        <v>12</v>
      </c>
      <c r="J53" s="4">
        <v>0.48</v>
      </c>
      <c r="K53" s="4">
        <v>1.8480000000000001</v>
      </c>
      <c r="L53" s="45">
        <v>1.1000000000000001</v>
      </c>
      <c r="M53" s="4">
        <v>0.26</v>
      </c>
      <c r="N53" s="47">
        <f t="shared" si="1"/>
        <v>0.96800000000000019</v>
      </c>
    </row>
    <row r="54" spans="1:23" s="4" customFormat="1" x14ac:dyDescent="0.3">
      <c r="A54" s="4" t="s">
        <v>466</v>
      </c>
      <c r="B54" s="4" t="s">
        <v>447</v>
      </c>
      <c r="C54" s="4" t="s">
        <v>689</v>
      </c>
      <c r="D54" s="5">
        <v>42768</v>
      </c>
      <c r="E54" s="6"/>
      <c r="F54" s="4">
        <v>1657711</v>
      </c>
      <c r="G54" s="4">
        <v>5304052</v>
      </c>
      <c r="H54" s="42" t="s">
        <v>11</v>
      </c>
      <c r="I54" s="4" t="s">
        <v>12</v>
      </c>
      <c r="J54" s="4">
        <v>0.5</v>
      </c>
      <c r="K54" s="4">
        <v>1.8480000000000001</v>
      </c>
      <c r="L54" s="45">
        <v>1.1000000000000001</v>
      </c>
      <c r="M54" s="4">
        <v>0.26</v>
      </c>
      <c r="N54" s="47">
        <f t="shared" si="1"/>
        <v>0.98799999999999977</v>
      </c>
    </row>
    <row r="55" spans="1:23" s="4" customFormat="1" x14ac:dyDescent="0.3">
      <c r="A55" s="4" t="s">
        <v>467</v>
      </c>
      <c r="B55" s="4" t="s">
        <v>447</v>
      </c>
      <c r="C55" s="4" t="s">
        <v>689</v>
      </c>
      <c r="D55" s="5">
        <v>42768</v>
      </c>
      <c r="E55" s="6"/>
      <c r="F55" s="4">
        <v>1657711</v>
      </c>
      <c r="G55" s="4">
        <v>5304052</v>
      </c>
      <c r="H55" s="42" t="s">
        <v>13</v>
      </c>
      <c r="I55" s="4" t="s">
        <v>12</v>
      </c>
      <c r="J55" s="4">
        <v>0.6</v>
      </c>
      <c r="K55" s="4">
        <v>1.8480000000000001</v>
      </c>
      <c r="L55" s="45">
        <v>1.1000000000000001</v>
      </c>
      <c r="M55" s="4">
        <v>0.38</v>
      </c>
      <c r="N55" s="48">
        <f t="shared" si="1"/>
        <v>0.96799999999999986</v>
      </c>
    </row>
    <row r="56" spans="1:23" s="4" customFormat="1" x14ac:dyDescent="0.3">
      <c r="A56" s="4" t="s">
        <v>468</v>
      </c>
      <c r="B56" s="4" t="s">
        <v>447</v>
      </c>
      <c r="C56" s="4" t="s">
        <v>689</v>
      </c>
      <c r="D56" s="5">
        <v>42768</v>
      </c>
      <c r="E56" s="6"/>
      <c r="F56" s="4">
        <v>1657711</v>
      </c>
      <c r="G56" s="4">
        <v>5304052</v>
      </c>
      <c r="H56" s="42" t="s">
        <v>13</v>
      </c>
      <c r="I56" s="4" t="s">
        <v>12</v>
      </c>
      <c r="J56" s="4">
        <v>0.6</v>
      </c>
      <c r="K56" s="4">
        <v>1.8480000000000001</v>
      </c>
      <c r="L56" s="45">
        <v>1.1000000000000001</v>
      </c>
      <c r="M56" s="4">
        <v>0.38</v>
      </c>
      <c r="N56" s="48">
        <f t="shared" si="1"/>
        <v>0.96799999999999986</v>
      </c>
    </row>
    <row r="57" spans="1:23" s="4" customFormat="1" x14ac:dyDescent="0.3">
      <c r="A57" s="4" t="s">
        <v>469</v>
      </c>
      <c r="B57" s="4" t="s">
        <v>447</v>
      </c>
      <c r="C57" s="4" t="s">
        <v>689</v>
      </c>
      <c r="D57" s="5">
        <v>42768</v>
      </c>
      <c r="E57" s="6"/>
      <c r="F57" s="4">
        <v>1657711</v>
      </c>
      <c r="G57" s="4">
        <v>5304052</v>
      </c>
      <c r="H57" s="42" t="s">
        <v>11</v>
      </c>
      <c r="I57" s="4" t="s">
        <v>12</v>
      </c>
      <c r="J57" s="4">
        <v>0.5</v>
      </c>
      <c r="K57" s="4">
        <v>1.8480000000000001</v>
      </c>
      <c r="L57" s="45">
        <v>1.1000000000000001</v>
      </c>
      <c r="M57" s="4">
        <v>0.26</v>
      </c>
      <c r="N57" s="47">
        <f t="shared" si="1"/>
        <v>0.98799999999999977</v>
      </c>
    </row>
    <row r="58" spans="1:23" s="4" customFormat="1" x14ac:dyDescent="0.3">
      <c r="A58" s="4" t="s">
        <v>470</v>
      </c>
      <c r="B58" s="4" t="s">
        <v>447</v>
      </c>
      <c r="C58" s="4" t="s">
        <v>689</v>
      </c>
      <c r="D58" s="5">
        <v>42768</v>
      </c>
      <c r="E58" s="6"/>
      <c r="F58" s="4">
        <v>1657711</v>
      </c>
      <c r="G58" s="4">
        <v>5304052</v>
      </c>
      <c r="H58" s="42" t="s">
        <v>13</v>
      </c>
      <c r="I58" s="4" t="s">
        <v>12</v>
      </c>
      <c r="J58" s="4">
        <v>0.53</v>
      </c>
      <c r="K58" s="4">
        <v>1.8480000000000001</v>
      </c>
      <c r="L58" s="45">
        <v>1.1000000000000001</v>
      </c>
      <c r="M58" s="4">
        <v>0.31</v>
      </c>
      <c r="N58" s="48">
        <f t="shared" si="1"/>
        <v>0.96799999999999997</v>
      </c>
    </row>
    <row r="59" spans="1:23" s="4" customFormat="1" x14ac:dyDescent="0.3">
      <c r="A59" s="4" t="s">
        <v>471</v>
      </c>
      <c r="B59" s="4" t="s">
        <v>447</v>
      </c>
      <c r="C59" s="4" t="s">
        <v>689</v>
      </c>
      <c r="D59" s="5">
        <v>42768</v>
      </c>
      <c r="E59" s="6"/>
      <c r="F59" s="4">
        <v>1657711</v>
      </c>
      <c r="G59" s="4">
        <v>5304052</v>
      </c>
      <c r="H59" s="42" t="s">
        <v>11</v>
      </c>
      <c r="I59" s="4" t="s">
        <v>12</v>
      </c>
      <c r="J59" s="4">
        <v>0.6</v>
      </c>
      <c r="K59" s="4">
        <v>1.8480000000000001</v>
      </c>
      <c r="L59" s="45">
        <v>1.1000000000000001</v>
      </c>
      <c r="M59" s="4">
        <v>0.26</v>
      </c>
      <c r="N59" s="47">
        <f t="shared" si="1"/>
        <v>1.0879999999999999</v>
      </c>
    </row>
    <row r="60" spans="1:23" s="4" customFormat="1" x14ac:dyDescent="0.3">
      <c r="A60" s="4" t="s">
        <v>472</v>
      </c>
      <c r="B60" s="4" t="s">
        <v>447</v>
      </c>
      <c r="C60" s="4" t="s">
        <v>689</v>
      </c>
      <c r="D60" s="5">
        <v>42768</v>
      </c>
      <c r="E60" s="6"/>
      <c r="F60" s="4">
        <v>1657711</v>
      </c>
      <c r="G60" s="4">
        <v>5304052</v>
      </c>
      <c r="H60" s="42" t="s">
        <v>13</v>
      </c>
      <c r="I60" s="4" t="s">
        <v>12</v>
      </c>
      <c r="J60" s="4">
        <v>0.65</v>
      </c>
      <c r="K60" s="4">
        <v>1.8480000000000001</v>
      </c>
      <c r="L60" s="45">
        <v>1.1000000000000001</v>
      </c>
      <c r="M60" s="4">
        <v>0.38</v>
      </c>
      <c r="N60" s="48">
        <f t="shared" si="1"/>
        <v>1.0180000000000002</v>
      </c>
    </row>
    <row r="61" spans="1:23" s="4" customFormat="1" x14ac:dyDescent="0.3">
      <c r="A61" s="4" t="s">
        <v>474</v>
      </c>
      <c r="B61" s="4" t="s">
        <v>447</v>
      </c>
      <c r="C61" s="4" t="s">
        <v>689</v>
      </c>
      <c r="D61" s="5">
        <v>42768</v>
      </c>
      <c r="E61" s="6"/>
      <c r="F61" s="4">
        <v>1657711</v>
      </c>
      <c r="G61" s="4">
        <v>5304052</v>
      </c>
      <c r="H61" s="42" t="s">
        <v>11</v>
      </c>
      <c r="I61" s="4" t="s">
        <v>12</v>
      </c>
      <c r="J61" s="4">
        <v>0.55000000000000004</v>
      </c>
      <c r="K61" s="4">
        <v>1.8480000000000001</v>
      </c>
      <c r="L61" s="45">
        <v>1.1000000000000001</v>
      </c>
      <c r="M61" s="4">
        <v>0.26</v>
      </c>
      <c r="N61" s="47">
        <f t="shared" si="1"/>
        <v>1.038</v>
      </c>
    </row>
    <row r="62" spans="1:23" s="4" customFormat="1" x14ac:dyDescent="0.3">
      <c r="A62" s="4" t="s">
        <v>475</v>
      </c>
      <c r="B62" s="4" t="s">
        <v>447</v>
      </c>
      <c r="C62" s="4" t="s">
        <v>689</v>
      </c>
      <c r="D62" s="5">
        <v>42768</v>
      </c>
      <c r="E62" s="6"/>
      <c r="F62" s="4">
        <v>1657711</v>
      </c>
      <c r="G62" s="4">
        <v>5304052</v>
      </c>
      <c r="H62" s="42" t="s">
        <v>13</v>
      </c>
      <c r="I62" s="4" t="s">
        <v>491</v>
      </c>
      <c r="J62" s="4">
        <v>0.7</v>
      </c>
      <c r="K62" s="4">
        <v>1.8480000000000001</v>
      </c>
      <c r="L62" s="45">
        <v>1.1000000000000001</v>
      </c>
      <c r="M62" s="4">
        <v>0.38</v>
      </c>
      <c r="N62" s="49">
        <f t="shared" si="1"/>
        <v>1.0680000000000001</v>
      </c>
    </row>
    <row r="63" spans="1:23" s="4" customFormat="1" x14ac:dyDescent="0.3">
      <c r="A63" s="4" t="s">
        <v>476</v>
      </c>
      <c r="B63" s="4" t="s">
        <v>447</v>
      </c>
      <c r="C63" s="4" t="s">
        <v>689</v>
      </c>
      <c r="D63" s="5">
        <v>42768</v>
      </c>
      <c r="E63" s="6">
        <v>0.58680555555555558</v>
      </c>
      <c r="F63" s="4">
        <v>1657711</v>
      </c>
      <c r="G63" s="4">
        <v>5304052</v>
      </c>
      <c r="H63" s="42" t="s">
        <v>11</v>
      </c>
      <c r="I63" s="4" t="s">
        <v>12</v>
      </c>
      <c r="J63" s="4">
        <v>0.6</v>
      </c>
      <c r="K63" s="4">
        <v>1.8480000000000001</v>
      </c>
      <c r="L63" s="45">
        <v>1.1000000000000001</v>
      </c>
      <c r="M63" s="4">
        <v>0.26</v>
      </c>
      <c r="N63" s="47">
        <f t="shared" si="1"/>
        <v>1.0879999999999999</v>
      </c>
    </row>
    <row r="64" spans="1:23" s="7" customFormat="1" x14ac:dyDescent="0.3">
      <c r="A64" s="7">
        <v>1</v>
      </c>
      <c r="B64" s="7" t="s">
        <v>202</v>
      </c>
      <c r="C64" s="7" t="s">
        <v>461</v>
      </c>
      <c r="D64" s="8">
        <v>42774</v>
      </c>
      <c r="E64" s="9">
        <v>0.8354166666666667</v>
      </c>
      <c r="F64" s="7">
        <v>1657845</v>
      </c>
      <c r="G64" s="7">
        <v>5304112</v>
      </c>
      <c r="H64" s="43" t="s">
        <v>13</v>
      </c>
      <c r="I64" s="7" t="s">
        <v>12</v>
      </c>
      <c r="J64" s="7">
        <v>1.35</v>
      </c>
      <c r="K64" s="7">
        <v>1.284</v>
      </c>
      <c r="L64" s="45">
        <v>1.1000000000000001</v>
      </c>
      <c r="M64" s="4">
        <v>0.38</v>
      </c>
      <c r="N64" s="48">
        <f t="shared" si="1"/>
        <v>1.1540000000000004</v>
      </c>
      <c r="O64" s="12">
        <f>AVERAGE(N64:N78)</f>
        <v>1.1879999999999999</v>
      </c>
      <c r="P64" s="4"/>
      <c r="Q64" s="4"/>
      <c r="R64" s="4"/>
      <c r="S64" s="4"/>
      <c r="T64" s="4"/>
      <c r="U64" s="4"/>
      <c r="V64" s="4"/>
      <c r="W64" s="4"/>
    </row>
    <row r="65" spans="1:23" s="7" customFormat="1" x14ac:dyDescent="0.3">
      <c r="A65" s="7">
        <v>2</v>
      </c>
      <c r="B65" s="7" t="s">
        <v>202</v>
      </c>
      <c r="C65" s="7" t="s">
        <v>461</v>
      </c>
      <c r="D65" s="8">
        <v>42774</v>
      </c>
      <c r="F65" s="7" t="s">
        <v>492</v>
      </c>
      <c r="G65" s="7" t="s">
        <v>493</v>
      </c>
      <c r="H65" s="43" t="s">
        <v>13</v>
      </c>
      <c r="I65" s="7" t="s">
        <v>12</v>
      </c>
      <c r="J65" s="7">
        <v>1.55</v>
      </c>
      <c r="K65" s="7">
        <v>1.284</v>
      </c>
      <c r="L65" s="45">
        <v>1.1000000000000001</v>
      </c>
      <c r="M65" s="4">
        <v>0.38</v>
      </c>
      <c r="N65" s="48">
        <f t="shared" si="1"/>
        <v>1.3540000000000001</v>
      </c>
      <c r="O65" s="4"/>
      <c r="P65" s="4"/>
      <c r="Q65" s="4"/>
      <c r="R65" s="4"/>
      <c r="S65" s="4"/>
      <c r="T65" s="4"/>
      <c r="U65" s="4"/>
      <c r="V65" s="4"/>
      <c r="W65" s="4"/>
    </row>
    <row r="66" spans="1:23" s="7" customFormat="1" x14ac:dyDescent="0.3">
      <c r="A66" s="7">
        <v>3</v>
      </c>
      <c r="B66" s="7" t="s">
        <v>202</v>
      </c>
      <c r="C66" s="7" t="s">
        <v>461</v>
      </c>
      <c r="D66" s="8">
        <v>42774</v>
      </c>
      <c r="F66" s="7" t="s">
        <v>492</v>
      </c>
      <c r="G66" s="7" t="s">
        <v>493</v>
      </c>
      <c r="H66" s="43" t="s">
        <v>13</v>
      </c>
      <c r="I66" s="7" t="s">
        <v>12</v>
      </c>
      <c r="J66" s="7">
        <v>1.4</v>
      </c>
      <c r="K66" s="7">
        <v>1.284</v>
      </c>
      <c r="L66" s="45">
        <v>1.1000000000000001</v>
      </c>
      <c r="M66" s="4">
        <v>0.38</v>
      </c>
      <c r="N66" s="48">
        <f t="shared" ref="N66:N97" si="2">SUM(J66:K66)-L66-M66</f>
        <v>1.2040000000000002</v>
      </c>
      <c r="O66" s="4"/>
      <c r="P66" s="4"/>
      <c r="Q66" s="4"/>
      <c r="R66" s="4"/>
      <c r="S66" s="4"/>
      <c r="T66" s="4"/>
      <c r="U66" s="4"/>
      <c r="V66" s="4"/>
      <c r="W66" s="4"/>
    </row>
    <row r="67" spans="1:23" s="7" customFormat="1" x14ac:dyDescent="0.3">
      <c r="A67" s="7">
        <v>4</v>
      </c>
      <c r="B67" s="7" t="s">
        <v>202</v>
      </c>
      <c r="C67" s="7" t="s">
        <v>461</v>
      </c>
      <c r="D67" s="8">
        <v>42774</v>
      </c>
      <c r="F67" s="7" t="s">
        <v>492</v>
      </c>
      <c r="G67" s="7" t="s">
        <v>493</v>
      </c>
      <c r="H67" s="43" t="s">
        <v>13</v>
      </c>
      <c r="I67" s="7" t="s">
        <v>12</v>
      </c>
      <c r="J67" s="7">
        <v>1.35</v>
      </c>
      <c r="K67" s="7">
        <v>1.284</v>
      </c>
      <c r="L67" s="45">
        <v>1.1000000000000001</v>
      </c>
      <c r="M67" s="4">
        <v>0.38</v>
      </c>
      <c r="N67" s="48">
        <f t="shared" si="2"/>
        <v>1.1540000000000004</v>
      </c>
      <c r="O67" s="4"/>
      <c r="P67" s="4"/>
      <c r="Q67" s="4"/>
      <c r="R67" s="4"/>
      <c r="S67" s="4"/>
      <c r="T67" s="4"/>
      <c r="U67" s="4"/>
      <c r="V67" s="4"/>
      <c r="W67" s="4"/>
    </row>
    <row r="68" spans="1:23" s="7" customFormat="1" x14ac:dyDescent="0.3">
      <c r="A68" s="7">
        <v>5</v>
      </c>
      <c r="B68" s="7" t="s">
        <v>202</v>
      </c>
      <c r="C68" s="7" t="s">
        <v>461</v>
      </c>
      <c r="D68" s="8">
        <v>42774</v>
      </c>
      <c r="F68" s="7" t="s">
        <v>492</v>
      </c>
      <c r="G68" s="7" t="s">
        <v>493</v>
      </c>
      <c r="H68" s="43" t="s">
        <v>13</v>
      </c>
      <c r="I68" s="7" t="s">
        <v>12</v>
      </c>
      <c r="J68" s="7">
        <v>1.25</v>
      </c>
      <c r="K68" s="7">
        <v>1.284</v>
      </c>
      <c r="L68" s="45">
        <v>1.1000000000000001</v>
      </c>
      <c r="M68" s="4">
        <v>0.38</v>
      </c>
      <c r="N68" s="48">
        <f t="shared" si="2"/>
        <v>1.0539999999999998</v>
      </c>
      <c r="O68" s="4"/>
      <c r="P68" s="4"/>
      <c r="Q68" s="4"/>
      <c r="R68" s="4"/>
      <c r="S68" s="4"/>
      <c r="T68" s="4"/>
      <c r="U68" s="4"/>
      <c r="V68" s="4"/>
      <c r="W68" s="4"/>
    </row>
    <row r="69" spans="1:23" s="7" customFormat="1" x14ac:dyDescent="0.3">
      <c r="A69" s="7">
        <v>6</v>
      </c>
      <c r="B69" s="7" t="s">
        <v>202</v>
      </c>
      <c r="C69" s="7" t="s">
        <v>461</v>
      </c>
      <c r="D69" s="8">
        <v>42774</v>
      </c>
      <c r="F69" s="7" t="s">
        <v>492</v>
      </c>
      <c r="G69" s="7" t="s">
        <v>493</v>
      </c>
      <c r="H69" s="43" t="s">
        <v>13</v>
      </c>
      <c r="I69" s="7" t="s">
        <v>12</v>
      </c>
      <c r="J69" s="7">
        <v>1.3</v>
      </c>
      <c r="K69" s="7">
        <v>1.284</v>
      </c>
      <c r="L69" s="45">
        <v>1.1000000000000001</v>
      </c>
      <c r="M69" s="4">
        <v>0.38</v>
      </c>
      <c r="N69" s="48">
        <f t="shared" si="2"/>
        <v>1.1040000000000001</v>
      </c>
      <c r="O69" s="4"/>
      <c r="P69" s="4"/>
      <c r="Q69" s="4"/>
      <c r="R69" s="4"/>
      <c r="S69" s="4"/>
      <c r="T69" s="4"/>
      <c r="U69" s="4"/>
      <c r="V69" s="4"/>
      <c r="W69" s="4"/>
    </row>
    <row r="70" spans="1:23" s="7" customFormat="1" x14ac:dyDescent="0.3">
      <c r="A70" s="7">
        <v>7</v>
      </c>
      <c r="B70" s="7" t="s">
        <v>202</v>
      </c>
      <c r="C70" s="7" t="s">
        <v>461</v>
      </c>
      <c r="D70" s="8">
        <v>42774</v>
      </c>
      <c r="F70" s="7" t="s">
        <v>492</v>
      </c>
      <c r="G70" s="7" t="s">
        <v>493</v>
      </c>
      <c r="H70" s="43" t="s">
        <v>13</v>
      </c>
      <c r="I70" s="7" t="s">
        <v>12</v>
      </c>
      <c r="J70" s="7">
        <v>1.45</v>
      </c>
      <c r="K70" s="7">
        <v>1.284</v>
      </c>
      <c r="L70" s="45">
        <v>1.1000000000000001</v>
      </c>
      <c r="M70" s="4">
        <v>0.38</v>
      </c>
      <c r="N70" s="48">
        <f t="shared" si="2"/>
        <v>1.254</v>
      </c>
      <c r="O70" s="4"/>
      <c r="P70" s="4"/>
      <c r="Q70" s="4"/>
      <c r="R70" s="4"/>
      <c r="S70" s="4"/>
      <c r="T70" s="4"/>
      <c r="U70" s="4"/>
      <c r="V70" s="4"/>
      <c r="W70" s="4"/>
    </row>
    <row r="71" spans="1:23" s="7" customFormat="1" x14ac:dyDescent="0.3">
      <c r="A71" s="7">
        <v>8</v>
      </c>
      <c r="B71" s="7" t="s">
        <v>202</v>
      </c>
      <c r="C71" s="7" t="s">
        <v>461</v>
      </c>
      <c r="D71" s="8">
        <v>42774</v>
      </c>
      <c r="F71" s="7" t="s">
        <v>492</v>
      </c>
      <c r="G71" s="7" t="s">
        <v>493</v>
      </c>
      <c r="H71" s="43" t="s">
        <v>13</v>
      </c>
      <c r="I71" s="7" t="s">
        <v>12</v>
      </c>
      <c r="J71" s="7">
        <v>1.35</v>
      </c>
      <c r="K71" s="7">
        <v>1.284</v>
      </c>
      <c r="L71" s="45">
        <v>1.1000000000000001</v>
      </c>
      <c r="M71" s="4">
        <v>0.38</v>
      </c>
      <c r="N71" s="48">
        <f t="shared" si="2"/>
        <v>1.1540000000000004</v>
      </c>
      <c r="O71" s="4"/>
      <c r="P71" s="4"/>
      <c r="Q71" s="4"/>
      <c r="R71" s="4"/>
      <c r="S71" s="4"/>
      <c r="T71" s="4"/>
      <c r="U71" s="4"/>
      <c r="V71" s="4"/>
      <c r="W71" s="4"/>
    </row>
    <row r="72" spans="1:23" s="7" customFormat="1" x14ac:dyDescent="0.3">
      <c r="A72" s="7">
        <v>9</v>
      </c>
      <c r="B72" s="7" t="s">
        <v>202</v>
      </c>
      <c r="C72" s="7" t="s">
        <v>461</v>
      </c>
      <c r="D72" s="8">
        <v>42774</v>
      </c>
      <c r="F72" s="7" t="s">
        <v>492</v>
      </c>
      <c r="G72" s="7" t="s">
        <v>493</v>
      </c>
      <c r="H72" s="43" t="s">
        <v>13</v>
      </c>
      <c r="I72" s="7" t="s">
        <v>12</v>
      </c>
      <c r="J72" s="7">
        <v>1.33</v>
      </c>
      <c r="K72" s="7">
        <v>1.284</v>
      </c>
      <c r="L72" s="45">
        <v>1.1000000000000001</v>
      </c>
      <c r="M72" s="4">
        <v>0.38</v>
      </c>
      <c r="N72" s="48">
        <f t="shared" si="2"/>
        <v>1.1339999999999999</v>
      </c>
      <c r="O72" s="4"/>
      <c r="P72" s="4"/>
      <c r="Q72" s="4"/>
      <c r="R72" s="4"/>
      <c r="S72" s="4"/>
      <c r="T72" s="4"/>
      <c r="U72" s="4"/>
      <c r="V72" s="4"/>
      <c r="W72" s="4"/>
    </row>
    <row r="73" spans="1:23" s="7" customFormat="1" x14ac:dyDescent="0.3">
      <c r="A73" s="7">
        <v>10</v>
      </c>
      <c r="B73" s="7" t="s">
        <v>202</v>
      </c>
      <c r="C73" s="7" t="s">
        <v>461</v>
      </c>
      <c r="D73" s="8">
        <v>42774</v>
      </c>
      <c r="F73" s="7" t="s">
        <v>492</v>
      </c>
      <c r="G73" s="7" t="s">
        <v>493</v>
      </c>
      <c r="H73" s="43" t="s">
        <v>13</v>
      </c>
      <c r="I73" s="7" t="s">
        <v>456</v>
      </c>
      <c r="J73" s="7">
        <v>1.4</v>
      </c>
      <c r="K73" s="7">
        <v>1.284</v>
      </c>
      <c r="L73" s="45">
        <v>1.1000000000000001</v>
      </c>
      <c r="M73" s="4">
        <v>0.38</v>
      </c>
      <c r="N73" s="49">
        <f t="shared" si="2"/>
        <v>1.2040000000000002</v>
      </c>
      <c r="O73" s="4"/>
      <c r="P73" s="4"/>
      <c r="Q73" s="4"/>
      <c r="R73" s="4"/>
      <c r="S73" s="4"/>
      <c r="T73" s="4"/>
      <c r="U73" s="4"/>
      <c r="V73" s="4"/>
      <c r="W73" s="4"/>
    </row>
    <row r="74" spans="1:23" s="7" customFormat="1" x14ac:dyDescent="0.3">
      <c r="A74" s="7">
        <v>11</v>
      </c>
      <c r="B74" s="7" t="s">
        <v>202</v>
      </c>
      <c r="C74" s="7" t="s">
        <v>461</v>
      </c>
      <c r="D74" s="8">
        <v>42774</v>
      </c>
      <c r="F74" s="7" t="s">
        <v>492</v>
      </c>
      <c r="G74" s="7" t="s">
        <v>493</v>
      </c>
      <c r="H74" s="43" t="s">
        <v>13</v>
      </c>
      <c r="I74" s="7" t="s">
        <v>456</v>
      </c>
      <c r="J74" s="7">
        <v>1.3</v>
      </c>
      <c r="K74" s="7">
        <v>1.284</v>
      </c>
      <c r="L74" s="45">
        <v>1.1000000000000001</v>
      </c>
      <c r="M74" s="4">
        <v>0.38</v>
      </c>
      <c r="N74" s="49">
        <f t="shared" si="2"/>
        <v>1.1040000000000001</v>
      </c>
      <c r="O74" s="4"/>
      <c r="P74" s="4"/>
      <c r="Q74" s="4"/>
      <c r="R74" s="4"/>
      <c r="S74" s="4"/>
      <c r="T74" s="4"/>
      <c r="U74" s="4"/>
      <c r="V74" s="4"/>
      <c r="W74" s="4"/>
    </row>
    <row r="75" spans="1:23" s="7" customFormat="1" x14ac:dyDescent="0.3">
      <c r="A75" s="7">
        <v>12</v>
      </c>
      <c r="B75" s="7" t="s">
        <v>202</v>
      </c>
      <c r="C75" s="7" t="s">
        <v>461</v>
      </c>
      <c r="D75" s="8">
        <v>42774</v>
      </c>
      <c r="F75" s="7" t="s">
        <v>492</v>
      </c>
      <c r="G75" s="7" t="s">
        <v>493</v>
      </c>
      <c r="H75" s="43" t="s">
        <v>13</v>
      </c>
      <c r="I75" s="7" t="s">
        <v>456</v>
      </c>
      <c r="J75" s="7">
        <v>1.4</v>
      </c>
      <c r="K75" s="7">
        <v>1.284</v>
      </c>
      <c r="L75" s="45">
        <v>1.1000000000000001</v>
      </c>
      <c r="M75" s="4">
        <v>0.38</v>
      </c>
      <c r="N75" s="49">
        <f t="shared" si="2"/>
        <v>1.2040000000000002</v>
      </c>
      <c r="O75" s="4"/>
      <c r="P75" s="4"/>
      <c r="Q75" s="4"/>
      <c r="R75" s="4"/>
      <c r="S75" s="4"/>
      <c r="T75" s="4"/>
      <c r="U75" s="4"/>
      <c r="V75" s="4"/>
      <c r="W75" s="4"/>
    </row>
    <row r="76" spans="1:23" s="7" customFormat="1" x14ac:dyDescent="0.3">
      <c r="A76" s="7">
        <v>13</v>
      </c>
      <c r="B76" s="7" t="s">
        <v>202</v>
      </c>
      <c r="C76" s="7" t="s">
        <v>461</v>
      </c>
      <c r="D76" s="8">
        <v>42774</v>
      </c>
      <c r="F76" s="7" t="s">
        <v>492</v>
      </c>
      <c r="G76" s="7" t="s">
        <v>493</v>
      </c>
      <c r="H76" s="43" t="s">
        <v>13</v>
      </c>
      <c r="I76" s="7" t="s">
        <v>456</v>
      </c>
      <c r="J76" s="7">
        <v>1.5</v>
      </c>
      <c r="K76" s="7">
        <v>1.284</v>
      </c>
      <c r="L76" s="45">
        <v>1.1000000000000001</v>
      </c>
      <c r="M76" s="4">
        <v>0.38</v>
      </c>
      <c r="N76" s="49">
        <f t="shared" si="2"/>
        <v>1.3039999999999998</v>
      </c>
      <c r="O76" s="4"/>
      <c r="P76" s="4"/>
      <c r="Q76" s="4"/>
      <c r="R76" s="4"/>
      <c r="S76" s="4"/>
      <c r="T76" s="4"/>
      <c r="U76" s="4"/>
      <c r="V76" s="4"/>
      <c r="W76" s="4"/>
    </row>
    <row r="77" spans="1:23" s="7" customFormat="1" x14ac:dyDescent="0.3">
      <c r="A77" s="7">
        <v>14</v>
      </c>
      <c r="B77" s="7" t="s">
        <v>202</v>
      </c>
      <c r="C77" s="7" t="s">
        <v>461</v>
      </c>
      <c r="D77" s="8">
        <v>42774</v>
      </c>
      <c r="F77" s="7" t="s">
        <v>492</v>
      </c>
      <c r="G77" s="7" t="s">
        <v>493</v>
      </c>
      <c r="H77" s="43" t="s">
        <v>13</v>
      </c>
      <c r="I77" s="7" t="s">
        <v>456</v>
      </c>
      <c r="J77" s="7">
        <v>1.4</v>
      </c>
      <c r="K77" s="7">
        <v>1.284</v>
      </c>
      <c r="L77" s="45">
        <v>1.1000000000000001</v>
      </c>
      <c r="M77" s="4">
        <v>0.38</v>
      </c>
      <c r="N77" s="49">
        <f t="shared" si="2"/>
        <v>1.2040000000000002</v>
      </c>
      <c r="O77" s="4"/>
      <c r="P77" s="4"/>
      <c r="Q77" s="4"/>
      <c r="R77" s="4"/>
      <c r="S77" s="4"/>
      <c r="T77" s="4"/>
      <c r="U77" s="4"/>
      <c r="V77" s="4"/>
      <c r="W77" s="4"/>
    </row>
    <row r="78" spans="1:23" s="7" customFormat="1" x14ac:dyDescent="0.3">
      <c r="A78" s="7">
        <v>15</v>
      </c>
      <c r="B78" s="7" t="s">
        <v>202</v>
      </c>
      <c r="C78" s="7" t="s">
        <v>461</v>
      </c>
      <c r="D78" s="8">
        <v>42774</v>
      </c>
      <c r="E78" s="9">
        <v>0.85069444444444453</v>
      </c>
      <c r="F78" s="7" t="s">
        <v>492</v>
      </c>
      <c r="G78" s="7" t="s">
        <v>493</v>
      </c>
      <c r="H78" s="43" t="s">
        <v>13</v>
      </c>
      <c r="I78" s="7" t="s">
        <v>456</v>
      </c>
      <c r="J78" s="7">
        <v>1.43</v>
      </c>
      <c r="K78" s="7">
        <v>1.284</v>
      </c>
      <c r="L78" s="45">
        <v>1.1000000000000001</v>
      </c>
      <c r="M78" s="4">
        <v>0.38</v>
      </c>
      <c r="N78" s="49">
        <f t="shared" si="2"/>
        <v>1.234</v>
      </c>
      <c r="O78" s="4"/>
      <c r="P78" s="4"/>
      <c r="Q78" s="4"/>
      <c r="R78" s="4"/>
      <c r="S78" s="4"/>
      <c r="T78" s="4"/>
      <c r="U78" s="4"/>
      <c r="V78" s="4"/>
      <c r="W78" s="4"/>
    </row>
    <row r="79" spans="1:23" s="4" customFormat="1" x14ac:dyDescent="0.3">
      <c r="A79" s="4">
        <v>1</v>
      </c>
      <c r="B79" s="4" t="s">
        <v>202</v>
      </c>
      <c r="C79" s="4" t="s">
        <v>494</v>
      </c>
      <c r="D79" s="5">
        <v>42774</v>
      </c>
      <c r="E79" s="6">
        <v>0.8354166666666667</v>
      </c>
      <c r="F79" s="4">
        <v>1657914</v>
      </c>
      <c r="G79" s="4">
        <v>5304122</v>
      </c>
      <c r="H79" s="42" t="s">
        <v>11</v>
      </c>
      <c r="I79" s="4" t="s">
        <v>456</v>
      </c>
      <c r="J79" s="4">
        <v>1.1499999999999999</v>
      </c>
      <c r="K79" s="7">
        <v>1.284</v>
      </c>
      <c r="L79" s="45">
        <v>1.1000000000000001</v>
      </c>
      <c r="M79" s="45">
        <v>0.26</v>
      </c>
      <c r="N79" s="46">
        <f t="shared" si="2"/>
        <v>1.0740000000000001</v>
      </c>
      <c r="O79" s="12">
        <f>AVERAGE(N79:N95)</f>
        <v>1.1204705882352943</v>
      </c>
    </row>
    <row r="80" spans="1:23" s="4" customFormat="1" x14ac:dyDescent="0.3">
      <c r="A80" s="4">
        <v>2</v>
      </c>
      <c r="B80" s="4" t="s">
        <v>202</v>
      </c>
      <c r="C80" s="4" t="s">
        <v>494</v>
      </c>
      <c r="D80" s="5">
        <v>42774</v>
      </c>
      <c r="F80" s="4">
        <v>1657914</v>
      </c>
      <c r="G80" s="4">
        <v>5304122</v>
      </c>
      <c r="H80" s="42" t="s">
        <v>11</v>
      </c>
      <c r="I80" s="4" t="s">
        <v>456</v>
      </c>
      <c r="J80" s="4">
        <v>1.2</v>
      </c>
      <c r="K80" s="7">
        <v>1.284</v>
      </c>
      <c r="L80" s="45">
        <v>1.1000000000000001</v>
      </c>
      <c r="M80" s="45">
        <v>0.26</v>
      </c>
      <c r="N80" s="46">
        <f t="shared" si="2"/>
        <v>1.1239999999999999</v>
      </c>
    </row>
    <row r="81" spans="1:14" s="4" customFormat="1" x14ac:dyDescent="0.3">
      <c r="A81" s="4">
        <v>3</v>
      </c>
      <c r="B81" s="4" t="s">
        <v>202</v>
      </c>
      <c r="C81" s="4" t="s">
        <v>494</v>
      </c>
      <c r="D81" s="5">
        <v>42774</v>
      </c>
      <c r="F81" s="4">
        <v>1657914</v>
      </c>
      <c r="G81" s="4">
        <v>5304122</v>
      </c>
      <c r="H81" s="42" t="s">
        <v>11</v>
      </c>
      <c r="I81" s="4" t="s">
        <v>456</v>
      </c>
      <c r="J81" s="4">
        <v>1.25</v>
      </c>
      <c r="K81" s="7">
        <v>1.284</v>
      </c>
      <c r="L81" s="45">
        <v>1.1000000000000001</v>
      </c>
      <c r="M81" s="45">
        <v>0.26</v>
      </c>
      <c r="N81" s="46">
        <f t="shared" si="2"/>
        <v>1.1739999999999997</v>
      </c>
    </row>
    <row r="82" spans="1:14" s="4" customFormat="1" x14ac:dyDescent="0.3">
      <c r="A82" s="4">
        <v>4</v>
      </c>
      <c r="B82" s="4" t="s">
        <v>202</v>
      </c>
      <c r="C82" s="4" t="s">
        <v>494</v>
      </c>
      <c r="D82" s="5">
        <v>42774</v>
      </c>
      <c r="F82" s="4">
        <v>1657914</v>
      </c>
      <c r="G82" s="4">
        <v>5304122</v>
      </c>
      <c r="H82" s="42" t="s">
        <v>11</v>
      </c>
      <c r="I82" s="4" t="s">
        <v>456</v>
      </c>
      <c r="J82" s="4">
        <v>1.1499999999999999</v>
      </c>
      <c r="K82" s="7">
        <v>1.284</v>
      </c>
      <c r="L82" s="45">
        <v>1.1000000000000001</v>
      </c>
      <c r="M82" s="45">
        <v>0.26</v>
      </c>
      <c r="N82" s="46">
        <f t="shared" si="2"/>
        <v>1.0740000000000001</v>
      </c>
    </row>
    <row r="83" spans="1:14" s="4" customFormat="1" x14ac:dyDescent="0.3">
      <c r="A83" s="4">
        <v>5</v>
      </c>
      <c r="B83" s="4" t="s">
        <v>202</v>
      </c>
      <c r="C83" s="4" t="s">
        <v>494</v>
      </c>
      <c r="D83" s="5">
        <v>42774</v>
      </c>
      <c r="F83" s="4">
        <v>1657914</v>
      </c>
      <c r="G83" s="4">
        <v>5304122</v>
      </c>
      <c r="H83" s="42" t="s">
        <v>11</v>
      </c>
      <c r="I83" s="4" t="s">
        <v>456</v>
      </c>
      <c r="J83" s="4">
        <v>1.1000000000000001</v>
      </c>
      <c r="K83" s="7">
        <v>1.284</v>
      </c>
      <c r="L83" s="45">
        <v>1.1000000000000001</v>
      </c>
      <c r="M83" s="45">
        <v>0.26</v>
      </c>
      <c r="N83" s="46">
        <f t="shared" si="2"/>
        <v>1.0240000000000002</v>
      </c>
    </row>
    <row r="84" spans="1:14" s="4" customFormat="1" x14ac:dyDescent="0.3">
      <c r="A84" s="4">
        <v>6</v>
      </c>
      <c r="B84" s="4" t="s">
        <v>202</v>
      </c>
      <c r="C84" s="4" t="s">
        <v>494</v>
      </c>
      <c r="D84" s="5">
        <v>42774</v>
      </c>
      <c r="F84" s="4">
        <v>1657914</v>
      </c>
      <c r="G84" s="4">
        <v>5304122</v>
      </c>
      <c r="H84" s="42" t="s">
        <v>11</v>
      </c>
      <c r="I84" s="4" t="s">
        <v>456</v>
      </c>
      <c r="J84" s="4">
        <v>1.2</v>
      </c>
      <c r="K84" s="7">
        <v>1.284</v>
      </c>
      <c r="L84" s="45">
        <v>1.1000000000000001</v>
      </c>
      <c r="M84" s="45">
        <v>0.26</v>
      </c>
      <c r="N84" s="46">
        <f t="shared" si="2"/>
        <v>1.1239999999999999</v>
      </c>
    </row>
    <row r="85" spans="1:14" s="4" customFormat="1" x14ac:dyDescent="0.3">
      <c r="A85" s="4">
        <v>7</v>
      </c>
      <c r="B85" s="4" t="s">
        <v>202</v>
      </c>
      <c r="C85" s="4" t="s">
        <v>494</v>
      </c>
      <c r="D85" s="5">
        <v>42774</v>
      </c>
      <c r="F85" s="4">
        <v>1657914</v>
      </c>
      <c r="G85" s="4">
        <v>5304122</v>
      </c>
      <c r="H85" s="42" t="s">
        <v>11</v>
      </c>
      <c r="I85" s="4" t="s">
        <v>456</v>
      </c>
      <c r="J85" s="4">
        <v>1.1499999999999999</v>
      </c>
      <c r="K85" s="7">
        <v>1.284</v>
      </c>
      <c r="L85" s="45">
        <v>1.1000000000000001</v>
      </c>
      <c r="M85" s="45">
        <v>0.26</v>
      </c>
      <c r="N85" s="46">
        <f t="shared" si="2"/>
        <v>1.0740000000000001</v>
      </c>
    </row>
    <row r="86" spans="1:14" s="4" customFormat="1" x14ac:dyDescent="0.3">
      <c r="A86" s="4">
        <v>10</v>
      </c>
      <c r="B86" s="4" t="s">
        <v>202</v>
      </c>
      <c r="C86" s="4" t="s">
        <v>494</v>
      </c>
      <c r="D86" s="5">
        <v>42774</v>
      </c>
      <c r="F86" s="4">
        <v>1657914</v>
      </c>
      <c r="G86" s="4">
        <v>5304122</v>
      </c>
      <c r="H86" s="42" t="s">
        <v>11</v>
      </c>
      <c r="I86" s="4" t="s">
        <v>456</v>
      </c>
      <c r="J86" s="4">
        <v>1.2</v>
      </c>
      <c r="K86" s="7">
        <v>1.284</v>
      </c>
      <c r="L86" s="45">
        <v>1.1000000000000001</v>
      </c>
      <c r="M86" s="45">
        <v>0.26</v>
      </c>
      <c r="N86" s="46">
        <f t="shared" si="2"/>
        <v>1.1239999999999999</v>
      </c>
    </row>
    <row r="87" spans="1:14" s="4" customFormat="1" x14ac:dyDescent="0.3">
      <c r="A87" s="4">
        <v>11</v>
      </c>
      <c r="B87" s="4" t="s">
        <v>202</v>
      </c>
      <c r="C87" s="4" t="s">
        <v>494</v>
      </c>
      <c r="D87" s="5">
        <v>42774</v>
      </c>
      <c r="F87" s="4">
        <v>1657914</v>
      </c>
      <c r="G87" s="4">
        <v>5304122</v>
      </c>
      <c r="H87" s="42" t="s">
        <v>11</v>
      </c>
      <c r="I87" s="4" t="s">
        <v>456</v>
      </c>
      <c r="J87" s="4">
        <v>1.1000000000000001</v>
      </c>
      <c r="K87" s="7">
        <v>1.284</v>
      </c>
      <c r="L87" s="45">
        <v>1.1000000000000001</v>
      </c>
      <c r="M87" s="45">
        <v>0.26</v>
      </c>
      <c r="N87" s="46">
        <f t="shared" si="2"/>
        <v>1.0240000000000002</v>
      </c>
    </row>
    <row r="88" spans="1:14" s="4" customFormat="1" x14ac:dyDescent="0.3">
      <c r="A88" s="4">
        <v>12</v>
      </c>
      <c r="B88" s="4" t="s">
        <v>202</v>
      </c>
      <c r="C88" s="4" t="s">
        <v>494</v>
      </c>
      <c r="D88" s="5">
        <v>42774</v>
      </c>
      <c r="F88" s="4">
        <v>1657914</v>
      </c>
      <c r="G88" s="4">
        <v>5304122</v>
      </c>
      <c r="H88" s="42" t="s">
        <v>13</v>
      </c>
      <c r="I88" s="4" t="s">
        <v>456</v>
      </c>
      <c r="J88" s="4">
        <v>1.55</v>
      </c>
      <c r="K88" s="7">
        <v>1.284</v>
      </c>
      <c r="L88" s="45">
        <v>1.1000000000000001</v>
      </c>
      <c r="M88" s="4">
        <v>0.38</v>
      </c>
      <c r="N88" s="49">
        <f t="shared" si="2"/>
        <v>1.3540000000000001</v>
      </c>
    </row>
    <row r="89" spans="1:14" s="4" customFormat="1" x14ac:dyDescent="0.3">
      <c r="A89" s="4">
        <v>13</v>
      </c>
      <c r="B89" s="4" t="s">
        <v>202</v>
      </c>
      <c r="C89" s="4" t="s">
        <v>494</v>
      </c>
      <c r="D89" s="5">
        <v>42774</v>
      </c>
      <c r="F89" s="4">
        <v>1657914</v>
      </c>
      <c r="G89" s="4">
        <v>5304122</v>
      </c>
      <c r="H89" s="42" t="s">
        <v>13</v>
      </c>
      <c r="I89" s="4" t="s">
        <v>456</v>
      </c>
      <c r="J89" s="4">
        <v>1.5</v>
      </c>
      <c r="K89" s="7">
        <v>1.284</v>
      </c>
      <c r="L89" s="45">
        <v>1.1000000000000001</v>
      </c>
      <c r="M89" s="4">
        <v>0.38</v>
      </c>
      <c r="N89" s="49">
        <f t="shared" si="2"/>
        <v>1.3039999999999998</v>
      </c>
    </row>
    <row r="90" spans="1:14" s="4" customFormat="1" x14ac:dyDescent="0.3">
      <c r="A90" s="4">
        <v>14</v>
      </c>
      <c r="B90" s="4" t="s">
        <v>202</v>
      </c>
      <c r="C90" s="4" t="s">
        <v>494</v>
      </c>
      <c r="D90" s="5">
        <v>42774</v>
      </c>
      <c r="F90" s="4">
        <v>1657914</v>
      </c>
      <c r="G90" s="4">
        <v>5304122</v>
      </c>
      <c r="H90" s="42" t="s">
        <v>11</v>
      </c>
      <c r="I90" s="4" t="s">
        <v>456</v>
      </c>
      <c r="J90" s="4">
        <v>1.25</v>
      </c>
      <c r="K90" s="7">
        <v>1.284</v>
      </c>
      <c r="L90" s="45">
        <v>1.1000000000000001</v>
      </c>
      <c r="M90" s="45">
        <v>0.26</v>
      </c>
      <c r="N90" s="46">
        <f t="shared" si="2"/>
        <v>1.1739999999999997</v>
      </c>
    </row>
    <row r="91" spans="1:14" s="4" customFormat="1" x14ac:dyDescent="0.3">
      <c r="A91" s="4">
        <v>15</v>
      </c>
      <c r="B91" s="4" t="s">
        <v>202</v>
      </c>
      <c r="C91" s="4" t="s">
        <v>494</v>
      </c>
      <c r="D91" s="5">
        <v>42774</v>
      </c>
      <c r="F91" s="4">
        <v>1657914</v>
      </c>
      <c r="G91" s="4">
        <v>5304122</v>
      </c>
      <c r="H91" s="42" t="s">
        <v>11</v>
      </c>
      <c r="I91" s="4" t="s">
        <v>456</v>
      </c>
      <c r="J91" s="4">
        <v>1.3</v>
      </c>
      <c r="K91" s="7">
        <v>1.284</v>
      </c>
      <c r="L91" s="45">
        <v>1.1000000000000001</v>
      </c>
      <c r="M91" s="45">
        <v>0.26</v>
      </c>
      <c r="N91" s="46">
        <f t="shared" si="2"/>
        <v>1.224</v>
      </c>
    </row>
    <row r="92" spans="1:14" s="4" customFormat="1" x14ac:dyDescent="0.3">
      <c r="A92" s="4">
        <v>16</v>
      </c>
      <c r="B92" s="4" t="s">
        <v>202</v>
      </c>
      <c r="C92" s="4" t="s">
        <v>494</v>
      </c>
      <c r="D92" s="5">
        <v>42774</v>
      </c>
      <c r="F92" s="4">
        <v>1657914</v>
      </c>
      <c r="G92" s="4">
        <v>5304122</v>
      </c>
      <c r="H92" s="42" t="s">
        <v>11</v>
      </c>
      <c r="I92" s="4" t="s">
        <v>12</v>
      </c>
      <c r="J92" s="4">
        <v>1</v>
      </c>
      <c r="K92" s="7">
        <v>1.284</v>
      </c>
      <c r="L92" s="45">
        <v>1.1000000000000001</v>
      </c>
      <c r="M92" s="45">
        <v>0.26</v>
      </c>
      <c r="N92" s="47">
        <f t="shared" si="2"/>
        <v>0.92399999999999971</v>
      </c>
    </row>
    <row r="93" spans="1:14" s="4" customFormat="1" x14ac:dyDescent="0.3">
      <c r="A93" s="4">
        <v>17</v>
      </c>
      <c r="B93" s="4" t="s">
        <v>202</v>
      </c>
      <c r="C93" s="4" t="s">
        <v>494</v>
      </c>
      <c r="D93" s="5">
        <v>42774</v>
      </c>
      <c r="F93" s="4">
        <v>1657914</v>
      </c>
      <c r="G93" s="4">
        <v>5304122</v>
      </c>
      <c r="H93" s="42" t="s">
        <v>11</v>
      </c>
      <c r="I93" s="4" t="s">
        <v>456</v>
      </c>
      <c r="J93" s="4">
        <v>1.1000000000000001</v>
      </c>
      <c r="K93" s="7">
        <v>1.284</v>
      </c>
      <c r="L93" s="45">
        <v>1.1000000000000001</v>
      </c>
      <c r="M93" s="45">
        <v>0.26</v>
      </c>
      <c r="N93" s="46">
        <f t="shared" si="2"/>
        <v>1.0240000000000002</v>
      </c>
    </row>
    <row r="94" spans="1:14" s="4" customFormat="1" x14ac:dyDescent="0.3">
      <c r="A94" s="4">
        <v>18</v>
      </c>
      <c r="B94" s="4" t="s">
        <v>202</v>
      </c>
      <c r="C94" s="4" t="s">
        <v>494</v>
      </c>
      <c r="D94" s="5">
        <v>42774</v>
      </c>
      <c r="F94" s="4">
        <v>1657914</v>
      </c>
      <c r="G94" s="4">
        <v>5304122</v>
      </c>
      <c r="H94" s="42" t="s">
        <v>11</v>
      </c>
      <c r="I94" s="4" t="s">
        <v>456</v>
      </c>
      <c r="J94" s="4">
        <v>1.1499999999999999</v>
      </c>
      <c r="K94" s="7">
        <v>1.284</v>
      </c>
      <c r="L94" s="45">
        <v>1.1000000000000001</v>
      </c>
      <c r="M94" s="45">
        <v>0.26</v>
      </c>
      <c r="N94" s="46">
        <f t="shared" si="2"/>
        <v>1.0740000000000001</v>
      </c>
    </row>
    <row r="95" spans="1:14" s="4" customFormat="1" x14ac:dyDescent="0.3">
      <c r="A95" s="4">
        <v>19</v>
      </c>
      <c r="B95" s="4" t="s">
        <v>202</v>
      </c>
      <c r="C95" s="4" t="s">
        <v>494</v>
      </c>
      <c r="D95" s="5">
        <v>42774</v>
      </c>
      <c r="F95" s="4">
        <v>1657914</v>
      </c>
      <c r="G95" s="4">
        <v>5304122</v>
      </c>
      <c r="H95" s="42" t="s">
        <v>13</v>
      </c>
      <c r="I95" s="4" t="s">
        <v>456</v>
      </c>
      <c r="J95" s="4">
        <v>1.35</v>
      </c>
      <c r="K95" s="7">
        <v>1.284</v>
      </c>
      <c r="L95" s="45">
        <v>1.1000000000000001</v>
      </c>
      <c r="M95" s="4">
        <v>0.38</v>
      </c>
      <c r="N95" s="49">
        <f t="shared" si="2"/>
        <v>1.1540000000000004</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7"/>
  <sheetViews>
    <sheetView zoomScale="75" zoomScaleNormal="75" workbookViewId="0">
      <pane xSplit="1" ySplit="1" topLeftCell="B2" activePane="bottomRight" state="frozen"/>
      <selection pane="topRight" activeCell="C1" sqref="C1"/>
      <selection pane="bottomLeft" activeCell="A4" sqref="A4"/>
      <selection pane="bottomRight" sqref="A1:XFD1"/>
    </sheetView>
  </sheetViews>
  <sheetFormatPr defaultRowHeight="14.4" x14ac:dyDescent="0.3"/>
  <cols>
    <col min="1" max="1" width="14" style="38" customWidth="1"/>
    <col min="2" max="2" width="18.5546875" style="38" customWidth="1"/>
    <col min="3" max="3" width="12.6640625" style="38" customWidth="1"/>
    <col min="4" max="4" width="14" style="38" customWidth="1"/>
    <col min="5" max="5" width="10.88671875" style="38" customWidth="1"/>
    <col min="6" max="6" width="16.88671875" style="38" customWidth="1"/>
    <col min="7" max="7" width="17.6640625" style="38" customWidth="1"/>
    <col min="8" max="10" width="9.109375" style="38" customWidth="1"/>
    <col min="11" max="11" width="14.109375" style="38" customWidth="1"/>
    <col min="12" max="12" width="11.21875" style="38" customWidth="1"/>
    <col min="13" max="13" width="14.88671875" style="38" customWidth="1"/>
    <col min="14" max="17" width="16.109375" style="38" customWidth="1"/>
    <col min="18" max="18" width="8.88671875" style="38"/>
    <col min="19" max="19" width="16.109375" style="38" customWidth="1"/>
    <col min="20" max="255" width="8.88671875" style="38"/>
    <col min="256" max="256" width="9.109375" style="38" customWidth="1"/>
    <col min="257" max="257" width="14" style="38" customWidth="1"/>
    <col min="258" max="258" width="13.6640625" style="38" customWidth="1"/>
    <col min="259" max="259" width="12.6640625" style="38" customWidth="1"/>
    <col min="260" max="260" width="16.109375" style="38" customWidth="1"/>
    <col min="261" max="261" width="7.33203125" style="38" customWidth="1"/>
    <col min="262" max="262" width="16.88671875" style="38" customWidth="1"/>
    <col min="263" max="263" width="17.6640625" style="38" customWidth="1"/>
    <col min="264" max="269" width="9.109375" style="38" customWidth="1"/>
    <col min="270" max="271" width="14.88671875" style="38" customWidth="1"/>
    <col min="272" max="273" width="16.109375" style="38" customWidth="1"/>
    <col min="274" max="274" width="8.88671875" style="38"/>
    <col min="275" max="275" width="16.109375" style="38" customWidth="1"/>
    <col min="276" max="511" width="8.88671875" style="38"/>
    <col min="512" max="512" width="9.109375" style="38" customWidth="1"/>
    <col min="513" max="513" width="14" style="38" customWidth="1"/>
    <col min="514" max="514" width="13.6640625" style="38" customWidth="1"/>
    <col min="515" max="515" width="12.6640625" style="38" customWidth="1"/>
    <col min="516" max="516" width="16.109375" style="38" customWidth="1"/>
    <col min="517" max="517" width="7.33203125" style="38" customWidth="1"/>
    <col min="518" max="518" width="16.88671875" style="38" customWidth="1"/>
    <col min="519" max="519" width="17.6640625" style="38" customWidth="1"/>
    <col min="520" max="525" width="9.109375" style="38" customWidth="1"/>
    <col min="526" max="527" width="14.88671875" style="38" customWidth="1"/>
    <col min="528" max="529" width="16.109375" style="38" customWidth="1"/>
    <col min="530" max="530" width="8.88671875" style="38"/>
    <col min="531" max="531" width="16.109375" style="38" customWidth="1"/>
    <col min="532" max="767" width="8.88671875" style="38"/>
    <col min="768" max="768" width="9.109375" style="38" customWidth="1"/>
    <col min="769" max="769" width="14" style="38" customWidth="1"/>
    <col min="770" max="770" width="13.6640625" style="38" customWidth="1"/>
    <col min="771" max="771" width="12.6640625" style="38" customWidth="1"/>
    <col min="772" max="772" width="16.109375" style="38" customWidth="1"/>
    <col min="773" max="773" width="7.33203125" style="38" customWidth="1"/>
    <col min="774" max="774" width="16.88671875" style="38" customWidth="1"/>
    <col min="775" max="775" width="17.6640625" style="38" customWidth="1"/>
    <col min="776" max="781" width="9.109375" style="38" customWidth="1"/>
    <col min="782" max="783" width="14.88671875" style="38" customWidth="1"/>
    <col min="784" max="785" width="16.109375" style="38" customWidth="1"/>
    <col min="786" max="786" width="8.88671875" style="38"/>
    <col min="787" max="787" width="16.109375" style="38" customWidth="1"/>
    <col min="788" max="1023" width="8.88671875" style="38"/>
    <col min="1024" max="1024" width="9.109375" style="38" customWidth="1"/>
    <col min="1025" max="1025" width="14" style="38" customWidth="1"/>
    <col min="1026" max="1026" width="13.6640625" style="38" customWidth="1"/>
    <col min="1027" max="1027" width="12.6640625" style="38" customWidth="1"/>
    <col min="1028" max="1028" width="16.109375" style="38" customWidth="1"/>
    <col min="1029" max="1029" width="7.33203125" style="38" customWidth="1"/>
    <col min="1030" max="1030" width="16.88671875" style="38" customWidth="1"/>
    <col min="1031" max="1031" width="17.6640625" style="38" customWidth="1"/>
    <col min="1032" max="1037" width="9.109375" style="38" customWidth="1"/>
    <col min="1038" max="1039" width="14.88671875" style="38" customWidth="1"/>
    <col min="1040" max="1041" width="16.109375" style="38" customWidth="1"/>
    <col min="1042" max="1042" width="8.88671875" style="38"/>
    <col min="1043" max="1043" width="16.109375" style="38" customWidth="1"/>
    <col min="1044" max="1279" width="8.88671875" style="38"/>
    <col min="1280" max="1280" width="9.109375" style="38" customWidth="1"/>
    <col min="1281" max="1281" width="14" style="38" customWidth="1"/>
    <col min="1282" max="1282" width="13.6640625" style="38" customWidth="1"/>
    <col min="1283" max="1283" width="12.6640625" style="38" customWidth="1"/>
    <col min="1284" max="1284" width="16.109375" style="38" customWidth="1"/>
    <col min="1285" max="1285" width="7.33203125" style="38" customWidth="1"/>
    <col min="1286" max="1286" width="16.88671875" style="38" customWidth="1"/>
    <col min="1287" max="1287" width="17.6640625" style="38" customWidth="1"/>
    <col min="1288" max="1293" width="9.109375" style="38" customWidth="1"/>
    <col min="1294" max="1295" width="14.88671875" style="38" customWidth="1"/>
    <col min="1296" max="1297" width="16.109375" style="38" customWidth="1"/>
    <col min="1298" max="1298" width="8.88671875" style="38"/>
    <col min="1299" max="1299" width="16.109375" style="38" customWidth="1"/>
    <col min="1300" max="1535" width="8.88671875" style="38"/>
    <col min="1536" max="1536" width="9.109375" style="38" customWidth="1"/>
    <col min="1537" max="1537" width="14" style="38" customWidth="1"/>
    <col min="1538" max="1538" width="13.6640625" style="38" customWidth="1"/>
    <col min="1539" max="1539" width="12.6640625" style="38" customWidth="1"/>
    <col min="1540" max="1540" width="16.109375" style="38" customWidth="1"/>
    <col min="1541" max="1541" width="7.33203125" style="38" customWidth="1"/>
    <col min="1542" max="1542" width="16.88671875" style="38" customWidth="1"/>
    <col min="1543" max="1543" width="17.6640625" style="38" customWidth="1"/>
    <col min="1544" max="1549" width="9.109375" style="38" customWidth="1"/>
    <col min="1550" max="1551" width="14.88671875" style="38" customWidth="1"/>
    <col min="1552" max="1553" width="16.109375" style="38" customWidth="1"/>
    <col min="1554" max="1554" width="8.88671875" style="38"/>
    <col min="1555" max="1555" width="16.109375" style="38" customWidth="1"/>
    <col min="1556" max="1791" width="8.88671875" style="38"/>
    <col min="1792" max="1792" width="9.109375" style="38" customWidth="1"/>
    <col min="1793" max="1793" width="14" style="38" customWidth="1"/>
    <col min="1794" max="1794" width="13.6640625" style="38" customWidth="1"/>
    <col min="1795" max="1795" width="12.6640625" style="38" customWidth="1"/>
    <col min="1796" max="1796" width="16.109375" style="38" customWidth="1"/>
    <col min="1797" max="1797" width="7.33203125" style="38" customWidth="1"/>
    <col min="1798" max="1798" width="16.88671875" style="38" customWidth="1"/>
    <col min="1799" max="1799" width="17.6640625" style="38" customWidth="1"/>
    <col min="1800" max="1805" width="9.109375" style="38" customWidth="1"/>
    <col min="1806" max="1807" width="14.88671875" style="38" customWidth="1"/>
    <col min="1808" max="1809" width="16.109375" style="38" customWidth="1"/>
    <col min="1810" max="1810" width="8.88671875" style="38"/>
    <col min="1811" max="1811" width="16.109375" style="38" customWidth="1"/>
    <col min="1812" max="2047" width="8.88671875" style="38"/>
    <col min="2048" max="2048" width="9.109375" style="38" customWidth="1"/>
    <col min="2049" max="2049" width="14" style="38" customWidth="1"/>
    <col min="2050" max="2050" width="13.6640625" style="38" customWidth="1"/>
    <col min="2051" max="2051" width="12.6640625" style="38" customWidth="1"/>
    <col min="2052" max="2052" width="16.109375" style="38" customWidth="1"/>
    <col min="2053" max="2053" width="7.33203125" style="38" customWidth="1"/>
    <col min="2054" max="2054" width="16.88671875" style="38" customWidth="1"/>
    <col min="2055" max="2055" width="17.6640625" style="38" customWidth="1"/>
    <col min="2056" max="2061" width="9.109375" style="38" customWidth="1"/>
    <col min="2062" max="2063" width="14.88671875" style="38" customWidth="1"/>
    <col min="2064" max="2065" width="16.109375" style="38" customWidth="1"/>
    <col min="2066" max="2066" width="8.88671875" style="38"/>
    <col min="2067" max="2067" width="16.109375" style="38" customWidth="1"/>
    <col min="2068" max="2303" width="8.88671875" style="38"/>
    <col min="2304" max="2304" width="9.109375" style="38" customWidth="1"/>
    <col min="2305" max="2305" width="14" style="38" customWidth="1"/>
    <col min="2306" max="2306" width="13.6640625" style="38" customWidth="1"/>
    <col min="2307" max="2307" width="12.6640625" style="38" customWidth="1"/>
    <col min="2308" max="2308" width="16.109375" style="38" customWidth="1"/>
    <col min="2309" max="2309" width="7.33203125" style="38" customWidth="1"/>
    <col min="2310" max="2310" width="16.88671875" style="38" customWidth="1"/>
    <col min="2311" max="2311" width="17.6640625" style="38" customWidth="1"/>
    <col min="2312" max="2317" width="9.109375" style="38" customWidth="1"/>
    <col min="2318" max="2319" width="14.88671875" style="38" customWidth="1"/>
    <col min="2320" max="2321" width="16.109375" style="38" customWidth="1"/>
    <col min="2322" max="2322" width="8.88671875" style="38"/>
    <col min="2323" max="2323" width="16.109375" style="38" customWidth="1"/>
    <col min="2324" max="2559" width="8.88671875" style="38"/>
    <col min="2560" max="2560" width="9.109375" style="38" customWidth="1"/>
    <col min="2561" max="2561" width="14" style="38" customWidth="1"/>
    <col min="2562" max="2562" width="13.6640625" style="38" customWidth="1"/>
    <col min="2563" max="2563" width="12.6640625" style="38" customWidth="1"/>
    <col min="2564" max="2564" width="16.109375" style="38" customWidth="1"/>
    <col min="2565" max="2565" width="7.33203125" style="38" customWidth="1"/>
    <col min="2566" max="2566" width="16.88671875" style="38" customWidth="1"/>
    <col min="2567" max="2567" width="17.6640625" style="38" customWidth="1"/>
    <col min="2568" max="2573" width="9.109375" style="38" customWidth="1"/>
    <col min="2574" max="2575" width="14.88671875" style="38" customWidth="1"/>
    <col min="2576" max="2577" width="16.109375" style="38" customWidth="1"/>
    <col min="2578" max="2578" width="8.88671875" style="38"/>
    <col min="2579" max="2579" width="16.109375" style="38" customWidth="1"/>
    <col min="2580" max="2815" width="8.88671875" style="38"/>
    <col min="2816" max="2816" width="9.109375" style="38" customWidth="1"/>
    <col min="2817" max="2817" width="14" style="38" customWidth="1"/>
    <col min="2818" max="2818" width="13.6640625" style="38" customWidth="1"/>
    <col min="2819" max="2819" width="12.6640625" style="38" customWidth="1"/>
    <col min="2820" max="2820" width="16.109375" style="38" customWidth="1"/>
    <col min="2821" max="2821" width="7.33203125" style="38" customWidth="1"/>
    <col min="2822" max="2822" width="16.88671875" style="38" customWidth="1"/>
    <col min="2823" max="2823" width="17.6640625" style="38" customWidth="1"/>
    <col min="2824" max="2829" width="9.109375" style="38" customWidth="1"/>
    <col min="2830" max="2831" width="14.88671875" style="38" customWidth="1"/>
    <col min="2832" max="2833" width="16.109375" style="38" customWidth="1"/>
    <col min="2834" max="2834" width="8.88671875" style="38"/>
    <col min="2835" max="2835" width="16.109375" style="38" customWidth="1"/>
    <col min="2836" max="3071" width="8.88671875" style="38"/>
    <col min="3072" max="3072" width="9.109375" style="38" customWidth="1"/>
    <col min="3073" max="3073" width="14" style="38" customWidth="1"/>
    <col min="3074" max="3074" width="13.6640625" style="38" customWidth="1"/>
    <col min="3075" max="3075" width="12.6640625" style="38" customWidth="1"/>
    <col min="3076" max="3076" width="16.109375" style="38" customWidth="1"/>
    <col min="3077" max="3077" width="7.33203125" style="38" customWidth="1"/>
    <col min="3078" max="3078" width="16.88671875" style="38" customWidth="1"/>
    <col min="3079" max="3079" width="17.6640625" style="38" customWidth="1"/>
    <col min="3080" max="3085" width="9.109375" style="38" customWidth="1"/>
    <col min="3086" max="3087" width="14.88671875" style="38" customWidth="1"/>
    <col min="3088" max="3089" width="16.109375" style="38" customWidth="1"/>
    <col min="3090" max="3090" width="8.88671875" style="38"/>
    <col min="3091" max="3091" width="16.109375" style="38" customWidth="1"/>
    <col min="3092" max="3327" width="8.88671875" style="38"/>
    <col min="3328" max="3328" width="9.109375" style="38" customWidth="1"/>
    <col min="3329" max="3329" width="14" style="38" customWidth="1"/>
    <col min="3330" max="3330" width="13.6640625" style="38" customWidth="1"/>
    <col min="3331" max="3331" width="12.6640625" style="38" customWidth="1"/>
    <col min="3332" max="3332" width="16.109375" style="38" customWidth="1"/>
    <col min="3333" max="3333" width="7.33203125" style="38" customWidth="1"/>
    <col min="3334" max="3334" width="16.88671875" style="38" customWidth="1"/>
    <col min="3335" max="3335" width="17.6640625" style="38" customWidth="1"/>
    <col min="3336" max="3341" width="9.109375" style="38" customWidth="1"/>
    <col min="3342" max="3343" width="14.88671875" style="38" customWidth="1"/>
    <col min="3344" max="3345" width="16.109375" style="38" customWidth="1"/>
    <col min="3346" max="3346" width="8.88671875" style="38"/>
    <col min="3347" max="3347" width="16.109375" style="38" customWidth="1"/>
    <col min="3348" max="3583" width="8.88671875" style="38"/>
    <col min="3584" max="3584" width="9.109375" style="38" customWidth="1"/>
    <col min="3585" max="3585" width="14" style="38" customWidth="1"/>
    <col min="3586" max="3586" width="13.6640625" style="38" customWidth="1"/>
    <col min="3587" max="3587" width="12.6640625" style="38" customWidth="1"/>
    <col min="3588" max="3588" width="16.109375" style="38" customWidth="1"/>
    <col min="3589" max="3589" width="7.33203125" style="38" customWidth="1"/>
    <col min="3590" max="3590" width="16.88671875" style="38" customWidth="1"/>
    <col min="3591" max="3591" width="17.6640625" style="38" customWidth="1"/>
    <col min="3592" max="3597" width="9.109375" style="38" customWidth="1"/>
    <col min="3598" max="3599" width="14.88671875" style="38" customWidth="1"/>
    <col min="3600" max="3601" width="16.109375" style="38" customWidth="1"/>
    <col min="3602" max="3602" width="8.88671875" style="38"/>
    <col min="3603" max="3603" width="16.109375" style="38" customWidth="1"/>
    <col min="3604" max="3839" width="8.88671875" style="38"/>
    <col min="3840" max="3840" width="9.109375" style="38" customWidth="1"/>
    <col min="3841" max="3841" width="14" style="38" customWidth="1"/>
    <col min="3842" max="3842" width="13.6640625" style="38" customWidth="1"/>
    <col min="3843" max="3843" width="12.6640625" style="38" customWidth="1"/>
    <col min="3844" max="3844" width="16.109375" style="38" customWidth="1"/>
    <col min="3845" max="3845" width="7.33203125" style="38" customWidth="1"/>
    <col min="3846" max="3846" width="16.88671875" style="38" customWidth="1"/>
    <col min="3847" max="3847" width="17.6640625" style="38" customWidth="1"/>
    <col min="3848" max="3853" width="9.109375" style="38" customWidth="1"/>
    <col min="3854" max="3855" width="14.88671875" style="38" customWidth="1"/>
    <col min="3856" max="3857" width="16.109375" style="38" customWidth="1"/>
    <col min="3858" max="3858" width="8.88671875" style="38"/>
    <col min="3859" max="3859" width="16.109375" style="38" customWidth="1"/>
    <col min="3860" max="4095" width="8.88671875" style="38"/>
    <col min="4096" max="4096" width="9.109375" style="38" customWidth="1"/>
    <col min="4097" max="4097" width="14" style="38" customWidth="1"/>
    <col min="4098" max="4098" width="13.6640625" style="38" customWidth="1"/>
    <col min="4099" max="4099" width="12.6640625" style="38" customWidth="1"/>
    <col min="4100" max="4100" width="16.109375" style="38" customWidth="1"/>
    <col min="4101" max="4101" width="7.33203125" style="38" customWidth="1"/>
    <col min="4102" max="4102" width="16.88671875" style="38" customWidth="1"/>
    <col min="4103" max="4103" width="17.6640625" style="38" customWidth="1"/>
    <col min="4104" max="4109" width="9.109375" style="38" customWidth="1"/>
    <col min="4110" max="4111" width="14.88671875" style="38" customWidth="1"/>
    <col min="4112" max="4113" width="16.109375" style="38" customWidth="1"/>
    <col min="4114" max="4114" width="8.88671875" style="38"/>
    <col min="4115" max="4115" width="16.109375" style="38" customWidth="1"/>
    <col min="4116" max="4351" width="8.88671875" style="38"/>
    <col min="4352" max="4352" width="9.109375" style="38" customWidth="1"/>
    <col min="4353" max="4353" width="14" style="38" customWidth="1"/>
    <col min="4354" max="4354" width="13.6640625" style="38" customWidth="1"/>
    <col min="4355" max="4355" width="12.6640625" style="38" customWidth="1"/>
    <col min="4356" max="4356" width="16.109375" style="38" customWidth="1"/>
    <col min="4357" max="4357" width="7.33203125" style="38" customWidth="1"/>
    <col min="4358" max="4358" width="16.88671875" style="38" customWidth="1"/>
    <col min="4359" max="4359" width="17.6640625" style="38" customWidth="1"/>
    <col min="4360" max="4365" width="9.109375" style="38" customWidth="1"/>
    <col min="4366" max="4367" width="14.88671875" style="38" customWidth="1"/>
    <col min="4368" max="4369" width="16.109375" style="38" customWidth="1"/>
    <col min="4370" max="4370" width="8.88671875" style="38"/>
    <col min="4371" max="4371" width="16.109375" style="38" customWidth="1"/>
    <col min="4372" max="4607" width="8.88671875" style="38"/>
    <col min="4608" max="4608" width="9.109375" style="38" customWidth="1"/>
    <col min="4609" max="4609" width="14" style="38" customWidth="1"/>
    <col min="4610" max="4610" width="13.6640625" style="38" customWidth="1"/>
    <col min="4611" max="4611" width="12.6640625" style="38" customWidth="1"/>
    <col min="4612" max="4612" width="16.109375" style="38" customWidth="1"/>
    <col min="4613" max="4613" width="7.33203125" style="38" customWidth="1"/>
    <col min="4614" max="4614" width="16.88671875" style="38" customWidth="1"/>
    <col min="4615" max="4615" width="17.6640625" style="38" customWidth="1"/>
    <col min="4616" max="4621" width="9.109375" style="38" customWidth="1"/>
    <col min="4622" max="4623" width="14.88671875" style="38" customWidth="1"/>
    <col min="4624" max="4625" width="16.109375" style="38" customWidth="1"/>
    <col min="4626" max="4626" width="8.88671875" style="38"/>
    <col min="4627" max="4627" width="16.109375" style="38" customWidth="1"/>
    <col min="4628" max="4863" width="8.88671875" style="38"/>
    <col min="4864" max="4864" width="9.109375" style="38" customWidth="1"/>
    <col min="4865" max="4865" width="14" style="38" customWidth="1"/>
    <col min="4866" max="4866" width="13.6640625" style="38" customWidth="1"/>
    <col min="4867" max="4867" width="12.6640625" style="38" customWidth="1"/>
    <col min="4868" max="4868" width="16.109375" style="38" customWidth="1"/>
    <col min="4869" max="4869" width="7.33203125" style="38" customWidth="1"/>
    <col min="4870" max="4870" width="16.88671875" style="38" customWidth="1"/>
    <col min="4871" max="4871" width="17.6640625" style="38" customWidth="1"/>
    <col min="4872" max="4877" width="9.109375" style="38" customWidth="1"/>
    <col min="4878" max="4879" width="14.88671875" style="38" customWidth="1"/>
    <col min="4880" max="4881" width="16.109375" style="38" customWidth="1"/>
    <col min="4882" max="4882" width="8.88671875" style="38"/>
    <col min="4883" max="4883" width="16.109375" style="38" customWidth="1"/>
    <col min="4884" max="5119" width="8.88671875" style="38"/>
    <col min="5120" max="5120" width="9.109375" style="38" customWidth="1"/>
    <col min="5121" max="5121" width="14" style="38" customWidth="1"/>
    <col min="5122" max="5122" width="13.6640625" style="38" customWidth="1"/>
    <col min="5123" max="5123" width="12.6640625" style="38" customWidth="1"/>
    <col min="5124" max="5124" width="16.109375" style="38" customWidth="1"/>
    <col min="5125" max="5125" width="7.33203125" style="38" customWidth="1"/>
    <col min="5126" max="5126" width="16.88671875" style="38" customWidth="1"/>
    <col min="5127" max="5127" width="17.6640625" style="38" customWidth="1"/>
    <col min="5128" max="5133" width="9.109375" style="38" customWidth="1"/>
    <col min="5134" max="5135" width="14.88671875" style="38" customWidth="1"/>
    <col min="5136" max="5137" width="16.109375" style="38" customWidth="1"/>
    <col min="5138" max="5138" width="8.88671875" style="38"/>
    <col min="5139" max="5139" width="16.109375" style="38" customWidth="1"/>
    <col min="5140" max="5375" width="8.88671875" style="38"/>
    <col min="5376" max="5376" width="9.109375" style="38" customWidth="1"/>
    <col min="5377" max="5377" width="14" style="38" customWidth="1"/>
    <col min="5378" max="5378" width="13.6640625" style="38" customWidth="1"/>
    <col min="5379" max="5379" width="12.6640625" style="38" customWidth="1"/>
    <col min="5380" max="5380" width="16.109375" style="38" customWidth="1"/>
    <col min="5381" max="5381" width="7.33203125" style="38" customWidth="1"/>
    <col min="5382" max="5382" width="16.88671875" style="38" customWidth="1"/>
    <col min="5383" max="5383" width="17.6640625" style="38" customWidth="1"/>
    <col min="5384" max="5389" width="9.109375" style="38" customWidth="1"/>
    <col min="5390" max="5391" width="14.88671875" style="38" customWidth="1"/>
    <col min="5392" max="5393" width="16.109375" style="38" customWidth="1"/>
    <col min="5394" max="5394" width="8.88671875" style="38"/>
    <col min="5395" max="5395" width="16.109375" style="38" customWidth="1"/>
    <col min="5396" max="5631" width="8.88671875" style="38"/>
    <col min="5632" max="5632" width="9.109375" style="38" customWidth="1"/>
    <col min="5633" max="5633" width="14" style="38" customWidth="1"/>
    <col min="5634" max="5634" width="13.6640625" style="38" customWidth="1"/>
    <col min="5635" max="5635" width="12.6640625" style="38" customWidth="1"/>
    <col min="5636" max="5636" width="16.109375" style="38" customWidth="1"/>
    <col min="5637" max="5637" width="7.33203125" style="38" customWidth="1"/>
    <col min="5638" max="5638" width="16.88671875" style="38" customWidth="1"/>
    <col min="5639" max="5639" width="17.6640625" style="38" customWidth="1"/>
    <col min="5640" max="5645" width="9.109375" style="38" customWidth="1"/>
    <col min="5646" max="5647" width="14.88671875" style="38" customWidth="1"/>
    <col min="5648" max="5649" width="16.109375" style="38" customWidth="1"/>
    <col min="5650" max="5650" width="8.88671875" style="38"/>
    <col min="5651" max="5651" width="16.109375" style="38" customWidth="1"/>
    <col min="5652" max="5887" width="8.88671875" style="38"/>
    <col min="5888" max="5888" width="9.109375" style="38" customWidth="1"/>
    <col min="5889" max="5889" width="14" style="38" customWidth="1"/>
    <col min="5890" max="5890" width="13.6640625" style="38" customWidth="1"/>
    <col min="5891" max="5891" width="12.6640625" style="38" customWidth="1"/>
    <col min="5892" max="5892" width="16.109375" style="38" customWidth="1"/>
    <col min="5893" max="5893" width="7.33203125" style="38" customWidth="1"/>
    <col min="5894" max="5894" width="16.88671875" style="38" customWidth="1"/>
    <col min="5895" max="5895" width="17.6640625" style="38" customWidth="1"/>
    <col min="5896" max="5901" width="9.109375" style="38" customWidth="1"/>
    <col min="5902" max="5903" width="14.88671875" style="38" customWidth="1"/>
    <col min="5904" max="5905" width="16.109375" style="38" customWidth="1"/>
    <col min="5906" max="5906" width="8.88671875" style="38"/>
    <col min="5907" max="5907" width="16.109375" style="38" customWidth="1"/>
    <col min="5908" max="6143" width="8.88671875" style="38"/>
    <col min="6144" max="6144" width="9.109375" style="38" customWidth="1"/>
    <col min="6145" max="6145" width="14" style="38" customWidth="1"/>
    <col min="6146" max="6146" width="13.6640625" style="38" customWidth="1"/>
    <col min="6147" max="6147" width="12.6640625" style="38" customWidth="1"/>
    <col min="6148" max="6148" width="16.109375" style="38" customWidth="1"/>
    <col min="6149" max="6149" width="7.33203125" style="38" customWidth="1"/>
    <col min="6150" max="6150" width="16.88671875" style="38" customWidth="1"/>
    <col min="6151" max="6151" width="17.6640625" style="38" customWidth="1"/>
    <col min="6152" max="6157" width="9.109375" style="38" customWidth="1"/>
    <col min="6158" max="6159" width="14.88671875" style="38" customWidth="1"/>
    <col min="6160" max="6161" width="16.109375" style="38" customWidth="1"/>
    <col min="6162" max="6162" width="8.88671875" style="38"/>
    <col min="6163" max="6163" width="16.109375" style="38" customWidth="1"/>
    <col min="6164" max="6399" width="8.88671875" style="38"/>
    <col min="6400" max="6400" width="9.109375" style="38" customWidth="1"/>
    <col min="6401" max="6401" width="14" style="38" customWidth="1"/>
    <col min="6402" max="6402" width="13.6640625" style="38" customWidth="1"/>
    <col min="6403" max="6403" width="12.6640625" style="38" customWidth="1"/>
    <col min="6404" max="6404" width="16.109375" style="38" customWidth="1"/>
    <col min="6405" max="6405" width="7.33203125" style="38" customWidth="1"/>
    <col min="6406" max="6406" width="16.88671875" style="38" customWidth="1"/>
    <col min="6407" max="6407" width="17.6640625" style="38" customWidth="1"/>
    <col min="6408" max="6413" width="9.109375" style="38" customWidth="1"/>
    <col min="6414" max="6415" width="14.88671875" style="38" customWidth="1"/>
    <col min="6416" max="6417" width="16.109375" style="38" customWidth="1"/>
    <col min="6418" max="6418" width="8.88671875" style="38"/>
    <col min="6419" max="6419" width="16.109375" style="38" customWidth="1"/>
    <col min="6420" max="6655" width="8.88671875" style="38"/>
    <col min="6656" max="6656" width="9.109375" style="38" customWidth="1"/>
    <col min="6657" max="6657" width="14" style="38" customWidth="1"/>
    <col min="6658" max="6658" width="13.6640625" style="38" customWidth="1"/>
    <col min="6659" max="6659" width="12.6640625" style="38" customWidth="1"/>
    <col min="6660" max="6660" width="16.109375" style="38" customWidth="1"/>
    <col min="6661" max="6661" width="7.33203125" style="38" customWidth="1"/>
    <col min="6662" max="6662" width="16.88671875" style="38" customWidth="1"/>
    <col min="6663" max="6663" width="17.6640625" style="38" customWidth="1"/>
    <col min="6664" max="6669" width="9.109375" style="38" customWidth="1"/>
    <col min="6670" max="6671" width="14.88671875" style="38" customWidth="1"/>
    <col min="6672" max="6673" width="16.109375" style="38" customWidth="1"/>
    <col min="6674" max="6674" width="8.88671875" style="38"/>
    <col min="6675" max="6675" width="16.109375" style="38" customWidth="1"/>
    <col min="6676" max="6911" width="8.88671875" style="38"/>
    <col min="6912" max="6912" width="9.109375" style="38" customWidth="1"/>
    <col min="6913" max="6913" width="14" style="38" customWidth="1"/>
    <col min="6914" max="6914" width="13.6640625" style="38" customWidth="1"/>
    <col min="6915" max="6915" width="12.6640625" style="38" customWidth="1"/>
    <col min="6916" max="6916" width="16.109375" style="38" customWidth="1"/>
    <col min="6917" max="6917" width="7.33203125" style="38" customWidth="1"/>
    <col min="6918" max="6918" width="16.88671875" style="38" customWidth="1"/>
    <col min="6919" max="6919" width="17.6640625" style="38" customWidth="1"/>
    <col min="6920" max="6925" width="9.109375" style="38" customWidth="1"/>
    <col min="6926" max="6927" width="14.88671875" style="38" customWidth="1"/>
    <col min="6928" max="6929" width="16.109375" style="38" customWidth="1"/>
    <col min="6930" max="6930" width="8.88671875" style="38"/>
    <col min="6931" max="6931" width="16.109375" style="38" customWidth="1"/>
    <col min="6932" max="7167" width="8.88671875" style="38"/>
    <col min="7168" max="7168" width="9.109375" style="38" customWidth="1"/>
    <col min="7169" max="7169" width="14" style="38" customWidth="1"/>
    <col min="7170" max="7170" width="13.6640625" style="38" customWidth="1"/>
    <col min="7171" max="7171" width="12.6640625" style="38" customWidth="1"/>
    <col min="7172" max="7172" width="16.109375" style="38" customWidth="1"/>
    <col min="7173" max="7173" width="7.33203125" style="38" customWidth="1"/>
    <col min="7174" max="7174" width="16.88671875" style="38" customWidth="1"/>
    <col min="7175" max="7175" width="17.6640625" style="38" customWidth="1"/>
    <col min="7176" max="7181" width="9.109375" style="38" customWidth="1"/>
    <col min="7182" max="7183" width="14.88671875" style="38" customWidth="1"/>
    <col min="7184" max="7185" width="16.109375" style="38" customWidth="1"/>
    <col min="7186" max="7186" width="8.88671875" style="38"/>
    <col min="7187" max="7187" width="16.109375" style="38" customWidth="1"/>
    <col min="7188" max="7423" width="8.88671875" style="38"/>
    <col min="7424" max="7424" width="9.109375" style="38" customWidth="1"/>
    <col min="7425" max="7425" width="14" style="38" customWidth="1"/>
    <col min="7426" max="7426" width="13.6640625" style="38" customWidth="1"/>
    <col min="7427" max="7427" width="12.6640625" style="38" customWidth="1"/>
    <col min="7428" max="7428" width="16.109375" style="38" customWidth="1"/>
    <col min="7429" max="7429" width="7.33203125" style="38" customWidth="1"/>
    <col min="7430" max="7430" width="16.88671875" style="38" customWidth="1"/>
    <col min="7431" max="7431" width="17.6640625" style="38" customWidth="1"/>
    <col min="7432" max="7437" width="9.109375" style="38" customWidth="1"/>
    <col min="7438" max="7439" width="14.88671875" style="38" customWidth="1"/>
    <col min="7440" max="7441" width="16.109375" style="38" customWidth="1"/>
    <col min="7442" max="7442" width="8.88671875" style="38"/>
    <col min="7443" max="7443" width="16.109375" style="38" customWidth="1"/>
    <col min="7444" max="7679" width="8.88671875" style="38"/>
    <col min="7680" max="7680" width="9.109375" style="38" customWidth="1"/>
    <col min="7681" max="7681" width="14" style="38" customWidth="1"/>
    <col min="7682" max="7682" width="13.6640625" style="38" customWidth="1"/>
    <col min="7683" max="7683" width="12.6640625" style="38" customWidth="1"/>
    <col min="7684" max="7684" width="16.109375" style="38" customWidth="1"/>
    <col min="7685" max="7685" width="7.33203125" style="38" customWidth="1"/>
    <col min="7686" max="7686" width="16.88671875" style="38" customWidth="1"/>
    <col min="7687" max="7687" width="17.6640625" style="38" customWidth="1"/>
    <col min="7688" max="7693" width="9.109375" style="38" customWidth="1"/>
    <col min="7694" max="7695" width="14.88671875" style="38" customWidth="1"/>
    <col min="7696" max="7697" width="16.109375" style="38" customWidth="1"/>
    <col min="7698" max="7698" width="8.88671875" style="38"/>
    <col min="7699" max="7699" width="16.109375" style="38" customWidth="1"/>
    <col min="7700" max="7935" width="8.88671875" style="38"/>
    <col min="7936" max="7936" width="9.109375" style="38" customWidth="1"/>
    <col min="7937" max="7937" width="14" style="38" customWidth="1"/>
    <col min="7938" max="7938" width="13.6640625" style="38" customWidth="1"/>
    <col min="7939" max="7939" width="12.6640625" style="38" customWidth="1"/>
    <col min="7940" max="7940" width="16.109375" style="38" customWidth="1"/>
    <col min="7941" max="7941" width="7.33203125" style="38" customWidth="1"/>
    <col min="7942" max="7942" width="16.88671875" style="38" customWidth="1"/>
    <col min="7943" max="7943" width="17.6640625" style="38" customWidth="1"/>
    <col min="7944" max="7949" width="9.109375" style="38" customWidth="1"/>
    <col min="7950" max="7951" width="14.88671875" style="38" customWidth="1"/>
    <col min="7952" max="7953" width="16.109375" style="38" customWidth="1"/>
    <col min="7954" max="7954" width="8.88671875" style="38"/>
    <col min="7955" max="7955" width="16.109375" style="38" customWidth="1"/>
    <col min="7956" max="8191" width="8.88671875" style="38"/>
    <col min="8192" max="8192" width="9.109375" style="38" customWidth="1"/>
    <col min="8193" max="8193" width="14" style="38" customWidth="1"/>
    <col min="8194" max="8194" width="13.6640625" style="38" customWidth="1"/>
    <col min="8195" max="8195" width="12.6640625" style="38" customWidth="1"/>
    <col min="8196" max="8196" width="16.109375" style="38" customWidth="1"/>
    <col min="8197" max="8197" width="7.33203125" style="38" customWidth="1"/>
    <col min="8198" max="8198" width="16.88671875" style="38" customWidth="1"/>
    <col min="8199" max="8199" width="17.6640625" style="38" customWidth="1"/>
    <col min="8200" max="8205" width="9.109375" style="38" customWidth="1"/>
    <col min="8206" max="8207" width="14.88671875" style="38" customWidth="1"/>
    <col min="8208" max="8209" width="16.109375" style="38" customWidth="1"/>
    <col min="8210" max="8210" width="8.88671875" style="38"/>
    <col min="8211" max="8211" width="16.109375" style="38" customWidth="1"/>
    <col min="8212" max="8447" width="8.88671875" style="38"/>
    <col min="8448" max="8448" width="9.109375" style="38" customWidth="1"/>
    <col min="8449" max="8449" width="14" style="38" customWidth="1"/>
    <col min="8450" max="8450" width="13.6640625" style="38" customWidth="1"/>
    <col min="8451" max="8451" width="12.6640625" style="38" customWidth="1"/>
    <col min="8452" max="8452" width="16.109375" style="38" customWidth="1"/>
    <col min="8453" max="8453" width="7.33203125" style="38" customWidth="1"/>
    <col min="8454" max="8454" width="16.88671875" style="38" customWidth="1"/>
    <col min="8455" max="8455" width="17.6640625" style="38" customWidth="1"/>
    <col min="8456" max="8461" width="9.109375" style="38" customWidth="1"/>
    <col min="8462" max="8463" width="14.88671875" style="38" customWidth="1"/>
    <col min="8464" max="8465" width="16.109375" style="38" customWidth="1"/>
    <col min="8466" max="8466" width="8.88671875" style="38"/>
    <col min="8467" max="8467" width="16.109375" style="38" customWidth="1"/>
    <col min="8468" max="8703" width="8.88671875" style="38"/>
    <col min="8704" max="8704" width="9.109375" style="38" customWidth="1"/>
    <col min="8705" max="8705" width="14" style="38" customWidth="1"/>
    <col min="8706" max="8706" width="13.6640625" style="38" customWidth="1"/>
    <col min="8707" max="8707" width="12.6640625" style="38" customWidth="1"/>
    <col min="8708" max="8708" width="16.109375" style="38" customWidth="1"/>
    <col min="8709" max="8709" width="7.33203125" style="38" customWidth="1"/>
    <col min="8710" max="8710" width="16.88671875" style="38" customWidth="1"/>
    <col min="8711" max="8711" width="17.6640625" style="38" customWidth="1"/>
    <col min="8712" max="8717" width="9.109375" style="38" customWidth="1"/>
    <col min="8718" max="8719" width="14.88671875" style="38" customWidth="1"/>
    <col min="8720" max="8721" width="16.109375" style="38" customWidth="1"/>
    <col min="8722" max="8722" width="8.88671875" style="38"/>
    <col min="8723" max="8723" width="16.109375" style="38" customWidth="1"/>
    <col min="8724" max="8959" width="8.88671875" style="38"/>
    <col min="8960" max="8960" width="9.109375" style="38" customWidth="1"/>
    <col min="8961" max="8961" width="14" style="38" customWidth="1"/>
    <col min="8962" max="8962" width="13.6640625" style="38" customWidth="1"/>
    <col min="8963" max="8963" width="12.6640625" style="38" customWidth="1"/>
    <col min="8964" max="8964" width="16.109375" style="38" customWidth="1"/>
    <col min="8965" max="8965" width="7.33203125" style="38" customWidth="1"/>
    <col min="8966" max="8966" width="16.88671875" style="38" customWidth="1"/>
    <col min="8967" max="8967" width="17.6640625" style="38" customWidth="1"/>
    <col min="8968" max="8973" width="9.109375" style="38" customWidth="1"/>
    <col min="8974" max="8975" width="14.88671875" style="38" customWidth="1"/>
    <col min="8976" max="8977" width="16.109375" style="38" customWidth="1"/>
    <col min="8978" max="8978" width="8.88671875" style="38"/>
    <col min="8979" max="8979" width="16.109375" style="38" customWidth="1"/>
    <col min="8980" max="9215" width="8.88671875" style="38"/>
    <col min="9216" max="9216" width="9.109375" style="38" customWidth="1"/>
    <col min="9217" max="9217" width="14" style="38" customWidth="1"/>
    <col min="9218" max="9218" width="13.6640625" style="38" customWidth="1"/>
    <col min="9219" max="9219" width="12.6640625" style="38" customWidth="1"/>
    <col min="9220" max="9220" width="16.109375" style="38" customWidth="1"/>
    <col min="9221" max="9221" width="7.33203125" style="38" customWidth="1"/>
    <col min="9222" max="9222" width="16.88671875" style="38" customWidth="1"/>
    <col min="9223" max="9223" width="17.6640625" style="38" customWidth="1"/>
    <col min="9224" max="9229" width="9.109375" style="38" customWidth="1"/>
    <col min="9230" max="9231" width="14.88671875" style="38" customWidth="1"/>
    <col min="9232" max="9233" width="16.109375" style="38" customWidth="1"/>
    <col min="9234" max="9234" width="8.88671875" style="38"/>
    <col min="9235" max="9235" width="16.109375" style="38" customWidth="1"/>
    <col min="9236" max="9471" width="8.88671875" style="38"/>
    <col min="9472" max="9472" width="9.109375" style="38" customWidth="1"/>
    <col min="9473" max="9473" width="14" style="38" customWidth="1"/>
    <col min="9474" max="9474" width="13.6640625" style="38" customWidth="1"/>
    <col min="9475" max="9475" width="12.6640625" style="38" customWidth="1"/>
    <col min="9476" max="9476" width="16.109375" style="38" customWidth="1"/>
    <col min="9477" max="9477" width="7.33203125" style="38" customWidth="1"/>
    <col min="9478" max="9478" width="16.88671875" style="38" customWidth="1"/>
    <col min="9479" max="9479" width="17.6640625" style="38" customWidth="1"/>
    <col min="9480" max="9485" width="9.109375" style="38" customWidth="1"/>
    <col min="9486" max="9487" width="14.88671875" style="38" customWidth="1"/>
    <col min="9488" max="9489" width="16.109375" style="38" customWidth="1"/>
    <col min="9490" max="9490" width="8.88671875" style="38"/>
    <col min="9491" max="9491" width="16.109375" style="38" customWidth="1"/>
    <col min="9492" max="9727" width="8.88671875" style="38"/>
    <col min="9728" max="9728" width="9.109375" style="38" customWidth="1"/>
    <col min="9729" max="9729" width="14" style="38" customWidth="1"/>
    <col min="9730" max="9730" width="13.6640625" style="38" customWidth="1"/>
    <col min="9731" max="9731" width="12.6640625" style="38" customWidth="1"/>
    <col min="9732" max="9732" width="16.109375" style="38" customWidth="1"/>
    <col min="9733" max="9733" width="7.33203125" style="38" customWidth="1"/>
    <col min="9734" max="9734" width="16.88671875" style="38" customWidth="1"/>
    <col min="9735" max="9735" width="17.6640625" style="38" customWidth="1"/>
    <col min="9736" max="9741" width="9.109375" style="38" customWidth="1"/>
    <col min="9742" max="9743" width="14.88671875" style="38" customWidth="1"/>
    <col min="9744" max="9745" width="16.109375" style="38" customWidth="1"/>
    <col min="9746" max="9746" width="8.88671875" style="38"/>
    <col min="9747" max="9747" width="16.109375" style="38" customWidth="1"/>
    <col min="9748" max="9983" width="8.88671875" style="38"/>
    <col min="9984" max="9984" width="9.109375" style="38" customWidth="1"/>
    <col min="9985" max="9985" width="14" style="38" customWidth="1"/>
    <col min="9986" max="9986" width="13.6640625" style="38" customWidth="1"/>
    <col min="9987" max="9987" width="12.6640625" style="38" customWidth="1"/>
    <col min="9988" max="9988" width="16.109375" style="38" customWidth="1"/>
    <col min="9989" max="9989" width="7.33203125" style="38" customWidth="1"/>
    <col min="9990" max="9990" width="16.88671875" style="38" customWidth="1"/>
    <col min="9991" max="9991" width="17.6640625" style="38" customWidth="1"/>
    <col min="9992" max="9997" width="9.109375" style="38" customWidth="1"/>
    <col min="9998" max="9999" width="14.88671875" style="38" customWidth="1"/>
    <col min="10000" max="10001" width="16.109375" style="38" customWidth="1"/>
    <col min="10002" max="10002" width="8.88671875" style="38"/>
    <col min="10003" max="10003" width="16.109375" style="38" customWidth="1"/>
    <col min="10004" max="10239" width="8.88671875" style="38"/>
    <col min="10240" max="10240" width="9.109375" style="38" customWidth="1"/>
    <col min="10241" max="10241" width="14" style="38" customWidth="1"/>
    <col min="10242" max="10242" width="13.6640625" style="38" customWidth="1"/>
    <col min="10243" max="10243" width="12.6640625" style="38" customWidth="1"/>
    <col min="10244" max="10244" width="16.109375" style="38" customWidth="1"/>
    <col min="10245" max="10245" width="7.33203125" style="38" customWidth="1"/>
    <col min="10246" max="10246" width="16.88671875" style="38" customWidth="1"/>
    <col min="10247" max="10247" width="17.6640625" style="38" customWidth="1"/>
    <col min="10248" max="10253" width="9.109375" style="38" customWidth="1"/>
    <col min="10254" max="10255" width="14.88671875" style="38" customWidth="1"/>
    <col min="10256" max="10257" width="16.109375" style="38" customWidth="1"/>
    <col min="10258" max="10258" width="8.88671875" style="38"/>
    <col min="10259" max="10259" width="16.109375" style="38" customWidth="1"/>
    <col min="10260" max="10495" width="8.88671875" style="38"/>
    <col min="10496" max="10496" width="9.109375" style="38" customWidth="1"/>
    <col min="10497" max="10497" width="14" style="38" customWidth="1"/>
    <col min="10498" max="10498" width="13.6640625" style="38" customWidth="1"/>
    <col min="10499" max="10499" width="12.6640625" style="38" customWidth="1"/>
    <col min="10500" max="10500" width="16.109375" style="38" customWidth="1"/>
    <col min="10501" max="10501" width="7.33203125" style="38" customWidth="1"/>
    <col min="10502" max="10502" width="16.88671875" style="38" customWidth="1"/>
    <col min="10503" max="10503" width="17.6640625" style="38" customWidth="1"/>
    <col min="10504" max="10509" width="9.109375" style="38" customWidth="1"/>
    <col min="10510" max="10511" width="14.88671875" style="38" customWidth="1"/>
    <col min="10512" max="10513" width="16.109375" style="38" customWidth="1"/>
    <col min="10514" max="10514" width="8.88671875" style="38"/>
    <col min="10515" max="10515" width="16.109375" style="38" customWidth="1"/>
    <col min="10516" max="10751" width="8.88671875" style="38"/>
    <col min="10752" max="10752" width="9.109375" style="38" customWidth="1"/>
    <col min="10753" max="10753" width="14" style="38" customWidth="1"/>
    <col min="10754" max="10754" width="13.6640625" style="38" customWidth="1"/>
    <col min="10755" max="10755" width="12.6640625" style="38" customWidth="1"/>
    <col min="10756" max="10756" width="16.109375" style="38" customWidth="1"/>
    <col min="10757" max="10757" width="7.33203125" style="38" customWidth="1"/>
    <col min="10758" max="10758" width="16.88671875" style="38" customWidth="1"/>
    <col min="10759" max="10759" width="17.6640625" style="38" customWidth="1"/>
    <col min="10760" max="10765" width="9.109375" style="38" customWidth="1"/>
    <col min="10766" max="10767" width="14.88671875" style="38" customWidth="1"/>
    <col min="10768" max="10769" width="16.109375" style="38" customWidth="1"/>
    <col min="10770" max="10770" width="8.88671875" style="38"/>
    <col min="10771" max="10771" width="16.109375" style="38" customWidth="1"/>
    <col min="10772" max="11007" width="8.88671875" style="38"/>
    <col min="11008" max="11008" width="9.109375" style="38" customWidth="1"/>
    <col min="11009" max="11009" width="14" style="38" customWidth="1"/>
    <col min="11010" max="11010" width="13.6640625" style="38" customWidth="1"/>
    <col min="11011" max="11011" width="12.6640625" style="38" customWidth="1"/>
    <col min="11012" max="11012" width="16.109375" style="38" customWidth="1"/>
    <col min="11013" max="11013" width="7.33203125" style="38" customWidth="1"/>
    <col min="11014" max="11014" width="16.88671875" style="38" customWidth="1"/>
    <col min="11015" max="11015" width="17.6640625" style="38" customWidth="1"/>
    <col min="11016" max="11021" width="9.109375" style="38" customWidth="1"/>
    <col min="11022" max="11023" width="14.88671875" style="38" customWidth="1"/>
    <col min="11024" max="11025" width="16.109375" style="38" customWidth="1"/>
    <col min="11026" max="11026" width="8.88671875" style="38"/>
    <col min="11027" max="11027" width="16.109375" style="38" customWidth="1"/>
    <col min="11028" max="11263" width="8.88671875" style="38"/>
    <col min="11264" max="11264" width="9.109375" style="38" customWidth="1"/>
    <col min="11265" max="11265" width="14" style="38" customWidth="1"/>
    <col min="11266" max="11266" width="13.6640625" style="38" customWidth="1"/>
    <col min="11267" max="11267" width="12.6640625" style="38" customWidth="1"/>
    <col min="11268" max="11268" width="16.109375" style="38" customWidth="1"/>
    <col min="11269" max="11269" width="7.33203125" style="38" customWidth="1"/>
    <col min="11270" max="11270" width="16.88671875" style="38" customWidth="1"/>
    <col min="11271" max="11271" width="17.6640625" style="38" customWidth="1"/>
    <col min="11272" max="11277" width="9.109375" style="38" customWidth="1"/>
    <col min="11278" max="11279" width="14.88671875" style="38" customWidth="1"/>
    <col min="11280" max="11281" width="16.109375" style="38" customWidth="1"/>
    <col min="11282" max="11282" width="8.88671875" style="38"/>
    <col min="11283" max="11283" width="16.109375" style="38" customWidth="1"/>
    <col min="11284" max="11519" width="8.88671875" style="38"/>
    <col min="11520" max="11520" width="9.109375" style="38" customWidth="1"/>
    <col min="11521" max="11521" width="14" style="38" customWidth="1"/>
    <col min="11522" max="11522" width="13.6640625" style="38" customWidth="1"/>
    <col min="11523" max="11523" width="12.6640625" style="38" customWidth="1"/>
    <col min="11524" max="11524" width="16.109375" style="38" customWidth="1"/>
    <col min="11525" max="11525" width="7.33203125" style="38" customWidth="1"/>
    <col min="11526" max="11526" width="16.88671875" style="38" customWidth="1"/>
    <col min="11527" max="11527" width="17.6640625" style="38" customWidth="1"/>
    <col min="11528" max="11533" width="9.109375" style="38" customWidth="1"/>
    <col min="11534" max="11535" width="14.88671875" style="38" customWidth="1"/>
    <col min="11536" max="11537" width="16.109375" style="38" customWidth="1"/>
    <col min="11538" max="11538" width="8.88671875" style="38"/>
    <col min="11539" max="11539" width="16.109375" style="38" customWidth="1"/>
    <col min="11540" max="11775" width="8.88671875" style="38"/>
    <col min="11776" max="11776" width="9.109375" style="38" customWidth="1"/>
    <col min="11777" max="11777" width="14" style="38" customWidth="1"/>
    <col min="11778" max="11778" width="13.6640625" style="38" customWidth="1"/>
    <col min="11779" max="11779" width="12.6640625" style="38" customWidth="1"/>
    <col min="11780" max="11780" width="16.109375" style="38" customWidth="1"/>
    <col min="11781" max="11781" width="7.33203125" style="38" customWidth="1"/>
    <col min="11782" max="11782" width="16.88671875" style="38" customWidth="1"/>
    <col min="11783" max="11783" width="17.6640625" style="38" customWidth="1"/>
    <col min="11784" max="11789" width="9.109375" style="38" customWidth="1"/>
    <col min="11790" max="11791" width="14.88671875" style="38" customWidth="1"/>
    <col min="11792" max="11793" width="16.109375" style="38" customWidth="1"/>
    <col min="11794" max="11794" width="8.88671875" style="38"/>
    <col min="11795" max="11795" width="16.109375" style="38" customWidth="1"/>
    <col min="11796" max="12031" width="8.88671875" style="38"/>
    <col min="12032" max="12032" width="9.109375" style="38" customWidth="1"/>
    <col min="12033" max="12033" width="14" style="38" customWidth="1"/>
    <col min="12034" max="12034" width="13.6640625" style="38" customWidth="1"/>
    <col min="12035" max="12035" width="12.6640625" style="38" customWidth="1"/>
    <col min="12036" max="12036" width="16.109375" style="38" customWidth="1"/>
    <col min="12037" max="12037" width="7.33203125" style="38" customWidth="1"/>
    <col min="12038" max="12038" width="16.88671875" style="38" customWidth="1"/>
    <col min="12039" max="12039" width="17.6640625" style="38" customWidth="1"/>
    <col min="12040" max="12045" width="9.109375" style="38" customWidth="1"/>
    <col min="12046" max="12047" width="14.88671875" style="38" customWidth="1"/>
    <col min="12048" max="12049" width="16.109375" style="38" customWidth="1"/>
    <col min="12050" max="12050" width="8.88671875" style="38"/>
    <col min="12051" max="12051" width="16.109375" style="38" customWidth="1"/>
    <col min="12052" max="12287" width="8.88671875" style="38"/>
    <col min="12288" max="12288" width="9.109375" style="38" customWidth="1"/>
    <col min="12289" max="12289" width="14" style="38" customWidth="1"/>
    <col min="12290" max="12290" width="13.6640625" style="38" customWidth="1"/>
    <col min="12291" max="12291" width="12.6640625" style="38" customWidth="1"/>
    <col min="12292" max="12292" width="16.109375" style="38" customWidth="1"/>
    <col min="12293" max="12293" width="7.33203125" style="38" customWidth="1"/>
    <col min="12294" max="12294" width="16.88671875" style="38" customWidth="1"/>
    <col min="12295" max="12295" width="17.6640625" style="38" customWidth="1"/>
    <col min="12296" max="12301" width="9.109375" style="38" customWidth="1"/>
    <col min="12302" max="12303" width="14.88671875" style="38" customWidth="1"/>
    <col min="12304" max="12305" width="16.109375" style="38" customWidth="1"/>
    <col min="12306" max="12306" width="8.88671875" style="38"/>
    <col min="12307" max="12307" width="16.109375" style="38" customWidth="1"/>
    <col min="12308" max="12543" width="8.88671875" style="38"/>
    <col min="12544" max="12544" width="9.109375" style="38" customWidth="1"/>
    <col min="12545" max="12545" width="14" style="38" customWidth="1"/>
    <col min="12546" max="12546" width="13.6640625" style="38" customWidth="1"/>
    <col min="12547" max="12547" width="12.6640625" style="38" customWidth="1"/>
    <col min="12548" max="12548" width="16.109375" style="38" customWidth="1"/>
    <col min="12549" max="12549" width="7.33203125" style="38" customWidth="1"/>
    <col min="12550" max="12550" width="16.88671875" style="38" customWidth="1"/>
    <col min="12551" max="12551" width="17.6640625" style="38" customWidth="1"/>
    <col min="12552" max="12557" width="9.109375" style="38" customWidth="1"/>
    <col min="12558" max="12559" width="14.88671875" style="38" customWidth="1"/>
    <col min="12560" max="12561" width="16.109375" style="38" customWidth="1"/>
    <col min="12562" max="12562" width="8.88671875" style="38"/>
    <col min="12563" max="12563" width="16.109375" style="38" customWidth="1"/>
    <col min="12564" max="12799" width="8.88671875" style="38"/>
    <col min="12800" max="12800" width="9.109375" style="38" customWidth="1"/>
    <col min="12801" max="12801" width="14" style="38" customWidth="1"/>
    <col min="12802" max="12802" width="13.6640625" style="38" customWidth="1"/>
    <col min="12803" max="12803" width="12.6640625" style="38" customWidth="1"/>
    <col min="12804" max="12804" width="16.109375" style="38" customWidth="1"/>
    <col min="12805" max="12805" width="7.33203125" style="38" customWidth="1"/>
    <col min="12806" max="12806" width="16.88671875" style="38" customWidth="1"/>
    <col min="12807" max="12807" width="17.6640625" style="38" customWidth="1"/>
    <col min="12808" max="12813" width="9.109375" style="38" customWidth="1"/>
    <col min="12814" max="12815" width="14.88671875" style="38" customWidth="1"/>
    <col min="12816" max="12817" width="16.109375" style="38" customWidth="1"/>
    <col min="12818" max="12818" width="8.88671875" style="38"/>
    <col min="12819" max="12819" width="16.109375" style="38" customWidth="1"/>
    <col min="12820" max="13055" width="8.88671875" style="38"/>
    <col min="13056" max="13056" width="9.109375" style="38" customWidth="1"/>
    <col min="13057" max="13057" width="14" style="38" customWidth="1"/>
    <col min="13058" max="13058" width="13.6640625" style="38" customWidth="1"/>
    <col min="13059" max="13059" width="12.6640625" style="38" customWidth="1"/>
    <col min="13060" max="13060" width="16.109375" style="38" customWidth="1"/>
    <col min="13061" max="13061" width="7.33203125" style="38" customWidth="1"/>
    <col min="13062" max="13062" width="16.88671875" style="38" customWidth="1"/>
    <col min="13063" max="13063" width="17.6640625" style="38" customWidth="1"/>
    <col min="13064" max="13069" width="9.109375" style="38" customWidth="1"/>
    <col min="13070" max="13071" width="14.88671875" style="38" customWidth="1"/>
    <col min="13072" max="13073" width="16.109375" style="38" customWidth="1"/>
    <col min="13074" max="13074" width="8.88671875" style="38"/>
    <col min="13075" max="13075" width="16.109375" style="38" customWidth="1"/>
    <col min="13076" max="13311" width="8.88671875" style="38"/>
    <col min="13312" max="13312" width="9.109375" style="38" customWidth="1"/>
    <col min="13313" max="13313" width="14" style="38" customWidth="1"/>
    <col min="13314" max="13314" width="13.6640625" style="38" customWidth="1"/>
    <col min="13315" max="13315" width="12.6640625" style="38" customWidth="1"/>
    <col min="13316" max="13316" width="16.109375" style="38" customWidth="1"/>
    <col min="13317" max="13317" width="7.33203125" style="38" customWidth="1"/>
    <col min="13318" max="13318" width="16.88671875" style="38" customWidth="1"/>
    <col min="13319" max="13319" width="17.6640625" style="38" customWidth="1"/>
    <col min="13320" max="13325" width="9.109375" style="38" customWidth="1"/>
    <col min="13326" max="13327" width="14.88671875" style="38" customWidth="1"/>
    <col min="13328" max="13329" width="16.109375" style="38" customWidth="1"/>
    <col min="13330" max="13330" width="8.88671875" style="38"/>
    <col min="13331" max="13331" width="16.109375" style="38" customWidth="1"/>
    <col min="13332" max="13567" width="8.88671875" style="38"/>
    <col min="13568" max="13568" width="9.109375" style="38" customWidth="1"/>
    <col min="13569" max="13569" width="14" style="38" customWidth="1"/>
    <col min="13570" max="13570" width="13.6640625" style="38" customWidth="1"/>
    <col min="13571" max="13571" width="12.6640625" style="38" customWidth="1"/>
    <col min="13572" max="13572" width="16.109375" style="38" customWidth="1"/>
    <col min="13573" max="13573" width="7.33203125" style="38" customWidth="1"/>
    <col min="13574" max="13574" width="16.88671875" style="38" customWidth="1"/>
    <col min="13575" max="13575" width="17.6640625" style="38" customWidth="1"/>
    <col min="13576" max="13581" width="9.109375" style="38" customWidth="1"/>
    <col min="13582" max="13583" width="14.88671875" style="38" customWidth="1"/>
    <col min="13584" max="13585" width="16.109375" style="38" customWidth="1"/>
    <col min="13586" max="13586" width="8.88671875" style="38"/>
    <col min="13587" max="13587" width="16.109375" style="38" customWidth="1"/>
    <col min="13588" max="13823" width="8.88671875" style="38"/>
    <col min="13824" max="13824" width="9.109375" style="38" customWidth="1"/>
    <col min="13825" max="13825" width="14" style="38" customWidth="1"/>
    <col min="13826" max="13826" width="13.6640625" style="38" customWidth="1"/>
    <col min="13827" max="13827" width="12.6640625" style="38" customWidth="1"/>
    <col min="13828" max="13828" width="16.109375" style="38" customWidth="1"/>
    <col min="13829" max="13829" width="7.33203125" style="38" customWidth="1"/>
    <col min="13830" max="13830" width="16.88671875" style="38" customWidth="1"/>
    <col min="13831" max="13831" width="17.6640625" style="38" customWidth="1"/>
    <col min="13832" max="13837" width="9.109375" style="38" customWidth="1"/>
    <col min="13838" max="13839" width="14.88671875" style="38" customWidth="1"/>
    <col min="13840" max="13841" width="16.109375" style="38" customWidth="1"/>
    <col min="13842" max="13842" width="8.88671875" style="38"/>
    <col min="13843" max="13843" width="16.109375" style="38" customWidth="1"/>
    <col min="13844" max="14079" width="8.88671875" style="38"/>
    <col min="14080" max="14080" width="9.109375" style="38" customWidth="1"/>
    <col min="14081" max="14081" width="14" style="38" customWidth="1"/>
    <col min="14082" max="14082" width="13.6640625" style="38" customWidth="1"/>
    <col min="14083" max="14083" width="12.6640625" style="38" customWidth="1"/>
    <col min="14084" max="14084" width="16.109375" style="38" customWidth="1"/>
    <col min="14085" max="14085" width="7.33203125" style="38" customWidth="1"/>
    <col min="14086" max="14086" width="16.88671875" style="38" customWidth="1"/>
    <col min="14087" max="14087" width="17.6640625" style="38" customWidth="1"/>
    <col min="14088" max="14093" width="9.109375" style="38" customWidth="1"/>
    <col min="14094" max="14095" width="14.88671875" style="38" customWidth="1"/>
    <col min="14096" max="14097" width="16.109375" style="38" customWidth="1"/>
    <col min="14098" max="14098" width="8.88671875" style="38"/>
    <col min="14099" max="14099" width="16.109375" style="38" customWidth="1"/>
    <col min="14100" max="14335" width="8.88671875" style="38"/>
    <col min="14336" max="14336" width="9.109375" style="38" customWidth="1"/>
    <col min="14337" max="14337" width="14" style="38" customWidth="1"/>
    <col min="14338" max="14338" width="13.6640625" style="38" customWidth="1"/>
    <col min="14339" max="14339" width="12.6640625" style="38" customWidth="1"/>
    <col min="14340" max="14340" width="16.109375" style="38" customWidth="1"/>
    <col min="14341" max="14341" width="7.33203125" style="38" customWidth="1"/>
    <col min="14342" max="14342" width="16.88671875" style="38" customWidth="1"/>
    <col min="14343" max="14343" width="17.6640625" style="38" customWidth="1"/>
    <col min="14344" max="14349" width="9.109375" style="38" customWidth="1"/>
    <col min="14350" max="14351" width="14.88671875" style="38" customWidth="1"/>
    <col min="14352" max="14353" width="16.109375" style="38" customWidth="1"/>
    <col min="14354" max="14354" width="8.88671875" style="38"/>
    <col min="14355" max="14355" width="16.109375" style="38" customWidth="1"/>
    <col min="14356" max="14591" width="8.88671875" style="38"/>
    <col min="14592" max="14592" width="9.109375" style="38" customWidth="1"/>
    <col min="14593" max="14593" width="14" style="38" customWidth="1"/>
    <col min="14594" max="14594" width="13.6640625" style="38" customWidth="1"/>
    <col min="14595" max="14595" width="12.6640625" style="38" customWidth="1"/>
    <col min="14596" max="14596" width="16.109375" style="38" customWidth="1"/>
    <col min="14597" max="14597" width="7.33203125" style="38" customWidth="1"/>
    <col min="14598" max="14598" width="16.88671875" style="38" customWidth="1"/>
    <col min="14599" max="14599" width="17.6640625" style="38" customWidth="1"/>
    <col min="14600" max="14605" width="9.109375" style="38" customWidth="1"/>
    <col min="14606" max="14607" width="14.88671875" style="38" customWidth="1"/>
    <col min="14608" max="14609" width="16.109375" style="38" customWidth="1"/>
    <col min="14610" max="14610" width="8.88671875" style="38"/>
    <col min="14611" max="14611" width="16.109375" style="38" customWidth="1"/>
    <col min="14612" max="14847" width="8.88671875" style="38"/>
    <col min="14848" max="14848" width="9.109375" style="38" customWidth="1"/>
    <col min="14849" max="14849" width="14" style="38" customWidth="1"/>
    <col min="14850" max="14850" width="13.6640625" style="38" customWidth="1"/>
    <col min="14851" max="14851" width="12.6640625" style="38" customWidth="1"/>
    <col min="14852" max="14852" width="16.109375" style="38" customWidth="1"/>
    <col min="14853" max="14853" width="7.33203125" style="38" customWidth="1"/>
    <col min="14854" max="14854" width="16.88671875" style="38" customWidth="1"/>
    <col min="14855" max="14855" width="17.6640625" style="38" customWidth="1"/>
    <col min="14856" max="14861" width="9.109375" style="38" customWidth="1"/>
    <col min="14862" max="14863" width="14.88671875" style="38" customWidth="1"/>
    <col min="14864" max="14865" width="16.109375" style="38" customWidth="1"/>
    <col min="14866" max="14866" width="8.88671875" style="38"/>
    <col min="14867" max="14867" width="16.109375" style="38" customWidth="1"/>
    <col min="14868" max="15103" width="8.88671875" style="38"/>
    <col min="15104" max="15104" width="9.109375" style="38" customWidth="1"/>
    <col min="15105" max="15105" width="14" style="38" customWidth="1"/>
    <col min="15106" max="15106" width="13.6640625" style="38" customWidth="1"/>
    <col min="15107" max="15107" width="12.6640625" style="38" customWidth="1"/>
    <col min="15108" max="15108" width="16.109375" style="38" customWidth="1"/>
    <col min="15109" max="15109" width="7.33203125" style="38" customWidth="1"/>
    <col min="15110" max="15110" width="16.88671875" style="38" customWidth="1"/>
    <col min="15111" max="15111" width="17.6640625" style="38" customWidth="1"/>
    <col min="15112" max="15117" width="9.109375" style="38" customWidth="1"/>
    <col min="15118" max="15119" width="14.88671875" style="38" customWidth="1"/>
    <col min="15120" max="15121" width="16.109375" style="38" customWidth="1"/>
    <col min="15122" max="15122" width="8.88671875" style="38"/>
    <col min="15123" max="15123" width="16.109375" style="38" customWidth="1"/>
    <col min="15124" max="15359" width="8.88671875" style="38"/>
    <col min="15360" max="15360" width="9.109375" style="38" customWidth="1"/>
    <col min="15361" max="15361" width="14" style="38" customWidth="1"/>
    <col min="15362" max="15362" width="13.6640625" style="38" customWidth="1"/>
    <col min="15363" max="15363" width="12.6640625" style="38" customWidth="1"/>
    <col min="15364" max="15364" width="16.109375" style="38" customWidth="1"/>
    <col min="15365" max="15365" width="7.33203125" style="38" customWidth="1"/>
    <col min="15366" max="15366" width="16.88671875" style="38" customWidth="1"/>
    <col min="15367" max="15367" width="17.6640625" style="38" customWidth="1"/>
    <col min="15368" max="15373" width="9.109375" style="38" customWidth="1"/>
    <col min="15374" max="15375" width="14.88671875" style="38" customWidth="1"/>
    <col min="15376" max="15377" width="16.109375" style="38" customWidth="1"/>
    <col min="15378" max="15378" width="8.88671875" style="38"/>
    <col min="15379" max="15379" width="16.109375" style="38" customWidth="1"/>
    <col min="15380" max="15615" width="8.88671875" style="38"/>
    <col min="15616" max="15616" width="9.109375" style="38" customWidth="1"/>
    <col min="15617" max="15617" width="14" style="38" customWidth="1"/>
    <col min="15618" max="15618" width="13.6640625" style="38" customWidth="1"/>
    <col min="15619" max="15619" width="12.6640625" style="38" customWidth="1"/>
    <col min="15620" max="15620" width="16.109375" style="38" customWidth="1"/>
    <col min="15621" max="15621" width="7.33203125" style="38" customWidth="1"/>
    <col min="15622" max="15622" width="16.88671875" style="38" customWidth="1"/>
    <col min="15623" max="15623" width="17.6640625" style="38" customWidth="1"/>
    <col min="15624" max="15629" width="9.109375" style="38" customWidth="1"/>
    <col min="15630" max="15631" width="14.88671875" style="38" customWidth="1"/>
    <col min="15632" max="15633" width="16.109375" style="38" customWidth="1"/>
    <col min="15634" max="15634" width="8.88671875" style="38"/>
    <col min="15635" max="15635" width="16.109375" style="38" customWidth="1"/>
    <col min="15636" max="15871" width="8.88671875" style="38"/>
    <col min="15872" max="15872" width="9.109375" style="38" customWidth="1"/>
    <col min="15873" max="15873" width="14" style="38" customWidth="1"/>
    <col min="15874" max="15874" width="13.6640625" style="38" customWidth="1"/>
    <col min="15875" max="15875" width="12.6640625" style="38" customWidth="1"/>
    <col min="15876" max="15876" width="16.109375" style="38" customWidth="1"/>
    <col min="15877" max="15877" width="7.33203125" style="38" customWidth="1"/>
    <col min="15878" max="15878" width="16.88671875" style="38" customWidth="1"/>
    <col min="15879" max="15879" width="17.6640625" style="38" customWidth="1"/>
    <col min="15880" max="15885" width="9.109375" style="38" customWidth="1"/>
    <col min="15886" max="15887" width="14.88671875" style="38" customWidth="1"/>
    <col min="15888" max="15889" width="16.109375" style="38" customWidth="1"/>
    <col min="15890" max="15890" width="8.88671875" style="38"/>
    <col min="15891" max="15891" width="16.109375" style="38" customWidth="1"/>
    <col min="15892" max="16127" width="8.88671875" style="38"/>
    <col min="16128" max="16128" width="9.109375" style="38" customWidth="1"/>
    <col min="16129" max="16129" width="14" style="38" customWidth="1"/>
    <col min="16130" max="16130" width="13.6640625" style="38" customWidth="1"/>
    <col min="16131" max="16131" width="12.6640625" style="38" customWidth="1"/>
    <col min="16132" max="16132" width="16.109375" style="38" customWidth="1"/>
    <col min="16133" max="16133" width="7.33203125" style="38" customWidth="1"/>
    <col min="16134" max="16134" width="16.88671875" style="38" customWidth="1"/>
    <col min="16135" max="16135" width="17.6640625" style="38" customWidth="1"/>
    <col min="16136" max="16141" width="9.109375" style="38" customWidth="1"/>
    <col min="16142" max="16143" width="14.88671875" style="38" customWidth="1"/>
    <col min="16144" max="16145" width="16.109375" style="38" customWidth="1"/>
    <col min="16146" max="16146" width="8.88671875" style="38"/>
    <col min="16147" max="16147" width="16.109375" style="38" customWidth="1"/>
    <col min="16148" max="16384" width="8.88671875" style="38"/>
  </cols>
  <sheetData>
    <row r="1" spans="1:24" ht="15.6" x14ac:dyDescent="0.35">
      <c r="A1" s="50" t="s">
        <v>0</v>
      </c>
      <c r="B1" s="50" t="s">
        <v>1</v>
      </c>
      <c r="C1" s="50" t="s">
        <v>2</v>
      </c>
      <c r="D1" s="50" t="s">
        <v>3</v>
      </c>
      <c r="E1" s="50" t="s">
        <v>4</v>
      </c>
      <c r="F1" s="50" t="s">
        <v>5</v>
      </c>
      <c r="G1" s="50" t="s">
        <v>6</v>
      </c>
      <c r="H1" s="50" t="s">
        <v>7</v>
      </c>
      <c r="I1" s="50" t="s">
        <v>8</v>
      </c>
      <c r="J1" s="50" t="s">
        <v>660</v>
      </c>
      <c r="K1" s="50" t="s">
        <v>9</v>
      </c>
      <c r="L1" s="50" t="s">
        <v>445</v>
      </c>
      <c r="M1" s="50" t="s">
        <v>438</v>
      </c>
      <c r="N1" s="50" t="s">
        <v>670</v>
      </c>
      <c r="O1" s="50" t="s">
        <v>495</v>
      </c>
      <c r="P1" s="50" t="s">
        <v>678</v>
      </c>
      <c r="Q1" s="50" t="s">
        <v>504</v>
      </c>
      <c r="R1" s="50" t="s">
        <v>498</v>
      </c>
      <c r="T1" s="50"/>
      <c r="X1" s="54"/>
    </row>
    <row r="3" spans="1:24" x14ac:dyDescent="0.3">
      <c r="A3" s="38" t="s">
        <v>513</v>
      </c>
      <c r="B3" s="38" t="s">
        <v>505</v>
      </c>
      <c r="C3" s="38" t="s">
        <v>658</v>
      </c>
      <c r="D3" s="51">
        <v>42767</v>
      </c>
      <c r="E3" s="38">
        <v>1248</v>
      </c>
      <c r="F3" s="38" t="s">
        <v>537</v>
      </c>
      <c r="G3" s="38" t="s">
        <v>538</v>
      </c>
      <c r="H3" s="38">
        <v>1643011.6780000001</v>
      </c>
      <c r="I3" s="38">
        <v>5295524.7300000004</v>
      </c>
      <c r="J3" s="38">
        <v>12.275</v>
      </c>
    </row>
    <row r="4" spans="1:24" x14ac:dyDescent="0.3">
      <c r="A4" s="38" t="s">
        <v>514</v>
      </c>
      <c r="B4" s="38" t="s">
        <v>505</v>
      </c>
      <c r="C4" s="38" t="s">
        <v>658</v>
      </c>
      <c r="D4" s="51">
        <v>42767</v>
      </c>
      <c r="F4" s="38" t="s">
        <v>539</v>
      </c>
      <c r="G4" s="38" t="s">
        <v>540</v>
      </c>
      <c r="H4" s="38">
        <v>1643019.9380000001</v>
      </c>
      <c r="I4" s="38">
        <v>5295524.2769999998</v>
      </c>
      <c r="J4" s="38">
        <v>13.228</v>
      </c>
      <c r="K4" s="56" t="s">
        <v>11</v>
      </c>
      <c r="L4" s="38">
        <f>SUM(J4-J$3)</f>
        <v>0.9529999999999994</v>
      </c>
      <c r="M4" s="38">
        <v>1.875</v>
      </c>
      <c r="N4" s="54">
        <f>SUM(L4:M4)-O$4-P$4</f>
        <v>1.4679999999999993</v>
      </c>
      <c r="O4" s="54">
        <v>1.1000000000000001</v>
      </c>
      <c r="P4" s="54">
        <v>0.26</v>
      </c>
      <c r="Q4" s="54">
        <f>AVERAGE(N4:N26)</f>
        <v>1.713086956521739</v>
      </c>
      <c r="R4" s="54">
        <f>STDEVA(N4:N26)</f>
        <v>0.12693230588262339</v>
      </c>
    </row>
    <row r="5" spans="1:24" x14ac:dyDescent="0.3">
      <c r="A5" s="38" t="s">
        <v>515</v>
      </c>
      <c r="B5" s="38" t="s">
        <v>505</v>
      </c>
      <c r="C5" s="38" t="s">
        <v>658</v>
      </c>
      <c r="D5" s="51">
        <v>42767</v>
      </c>
      <c r="F5" s="38" t="s">
        <v>541</v>
      </c>
      <c r="G5" s="38" t="s">
        <v>542</v>
      </c>
      <c r="H5" s="38">
        <v>1643019.827</v>
      </c>
      <c r="I5" s="38">
        <v>5295524.6540000001</v>
      </c>
      <c r="J5" s="38">
        <v>13.254</v>
      </c>
      <c r="K5" s="56" t="s">
        <v>11</v>
      </c>
      <c r="L5" s="38">
        <f t="shared" ref="L5:L26" si="0">SUM(J5-J$3)</f>
        <v>0.9789999999999992</v>
      </c>
      <c r="M5" s="38">
        <v>1.875</v>
      </c>
      <c r="N5" s="54">
        <f>SUM(L5:M5)-O$4-P$4</f>
        <v>1.4939999999999991</v>
      </c>
    </row>
    <row r="6" spans="1:24" x14ac:dyDescent="0.3">
      <c r="A6" s="38" t="s">
        <v>516</v>
      </c>
      <c r="B6" s="38" t="s">
        <v>505</v>
      </c>
      <c r="C6" s="38" t="s">
        <v>658</v>
      </c>
      <c r="D6" s="51">
        <v>42767</v>
      </c>
      <c r="F6" s="38" t="s">
        <v>543</v>
      </c>
      <c r="G6" s="38" t="s">
        <v>544</v>
      </c>
      <c r="H6" s="38">
        <v>1643019.76</v>
      </c>
      <c r="I6" s="38">
        <v>5295523.3310000002</v>
      </c>
      <c r="J6" s="38">
        <v>13.552</v>
      </c>
      <c r="K6" s="56" t="s">
        <v>11</v>
      </c>
      <c r="L6" s="38">
        <f t="shared" si="0"/>
        <v>1.2769999999999992</v>
      </c>
      <c r="M6" s="38">
        <v>1.875</v>
      </c>
      <c r="N6" s="54">
        <f>SUM(L6:M6)-O$4-P$4</f>
        <v>1.7919999999999991</v>
      </c>
    </row>
    <row r="7" spans="1:24" x14ac:dyDescent="0.3">
      <c r="A7" s="38" t="s">
        <v>517</v>
      </c>
      <c r="B7" s="38" t="s">
        <v>505</v>
      </c>
      <c r="C7" s="38" t="s">
        <v>658</v>
      </c>
      <c r="D7" s="51">
        <v>42767</v>
      </c>
      <c r="F7" s="38" t="s">
        <v>545</v>
      </c>
      <c r="G7" s="38" t="s">
        <v>546</v>
      </c>
      <c r="H7" s="38">
        <v>1643023.432</v>
      </c>
      <c r="I7" s="38">
        <v>5295525.3310000002</v>
      </c>
      <c r="J7" s="38">
        <v>13.476000000000001</v>
      </c>
      <c r="K7" s="56" t="s">
        <v>11</v>
      </c>
      <c r="L7" s="38">
        <f t="shared" si="0"/>
        <v>1.2010000000000005</v>
      </c>
      <c r="M7" s="38">
        <v>1.875</v>
      </c>
      <c r="N7" s="54">
        <f>SUM(L7:M7)-O$4-P$4</f>
        <v>1.7160000000000004</v>
      </c>
    </row>
    <row r="8" spans="1:24" x14ac:dyDescent="0.3">
      <c r="A8" s="38" t="s">
        <v>518</v>
      </c>
      <c r="B8" s="38" t="s">
        <v>505</v>
      </c>
      <c r="C8" s="38" t="s">
        <v>658</v>
      </c>
      <c r="D8" s="51">
        <v>42767</v>
      </c>
      <c r="F8" s="38" t="s">
        <v>547</v>
      </c>
      <c r="G8" s="38" t="s">
        <v>548</v>
      </c>
      <c r="H8" s="38">
        <v>1643024.2220000001</v>
      </c>
      <c r="I8" s="38">
        <v>5295525.1430000002</v>
      </c>
      <c r="J8" s="38">
        <v>13.676</v>
      </c>
      <c r="K8" s="56" t="s">
        <v>11</v>
      </c>
      <c r="L8" s="38">
        <f t="shared" si="0"/>
        <v>1.4009999999999998</v>
      </c>
      <c r="M8" s="38">
        <v>1.875</v>
      </c>
      <c r="N8" s="54">
        <f>SUM(L8:M8)-O$4-P$4</f>
        <v>1.9159999999999997</v>
      </c>
    </row>
    <row r="9" spans="1:24" x14ac:dyDescent="0.3">
      <c r="A9" s="38" t="s">
        <v>519</v>
      </c>
      <c r="B9" s="38" t="s">
        <v>505</v>
      </c>
      <c r="C9" s="38" t="s">
        <v>658</v>
      </c>
      <c r="D9" s="51">
        <v>42767</v>
      </c>
      <c r="F9" s="38" t="s">
        <v>549</v>
      </c>
      <c r="G9" s="38" t="s">
        <v>550</v>
      </c>
      <c r="H9" s="38">
        <v>1643024.074</v>
      </c>
      <c r="I9" s="38">
        <v>5295525.5039999997</v>
      </c>
      <c r="J9" s="38">
        <v>13.445</v>
      </c>
      <c r="K9" s="56" t="s">
        <v>11</v>
      </c>
      <c r="L9" s="38">
        <f t="shared" si="0"/>
        <v>1.17</v>
      </c>
      <c r="M9" s="38">
        <v>1.875</v>
      </c>
      <c r="N9" s="54">
        <f>SUM(L9:M9)-O$4-P$4</f>
        <v>1.6849999999999998</v>
      </c>
    </row>
    <row r="10" spans="1:24" x14ac:dyDescent="0.3">
      <c r="A10" s="38" t="s">
        <v>520</v>
      </c>
      <c r="B10" s="38" t="s">
        <v>505</v>
      </c>
      <c r="C10" s="38" t="s">
        <v>658</v>
      </c>
      <c r="D10" s="51">
        <v>42767</v>
      </c>
      <c r="F10" s="38" t="s">
        <v>551</v>
      </c>
      <c r="G10" s="38" t="s">
        <v>552</v>
      </c>
      <c r="H10" s="38">
        <v>1643019.9809999999</v>
      </c>
      <c r="I10" s="38">
        <v>5295526.2510000002</v>
      </c>
      <c r="J10" s="38">
        <v>13.323</v>
      </c>
      <c r="K10" s="56" t="s">
        <v>11</v>
      </c>
      <c r="L10" s="38">
        <f t="shared" si="0"/>
        <v>1.048</v>
      </c>
      <c r="M10" s="38">
        <v>1.875</v>
      </c>
      <c r="N10" s="54">
        <f>SUM(L10:M10)-O$4-P$4</f>
        <v>1.5629999999999999</v>
      </c>
    </row>
    <row r="11" spans="1:24" x14ac:dyDescent="0.3">
      <c r="A11" s="38" t="s">
        <v>521</v>
      </c>
      <c r="B11" s="38" t="s">
        <v>505</v>
      </c>
      <c r="C11" s="38" t="s">
        <v>658</v>
      </c>
      <c r="D11" s="51">
        <v>42767</v>
      </c>
      <c r="F11" s="38" t="s">
        <v>553</v>
      </c>
      <c r="G11" s="38" t="s">
        <v>554</v>
      </c>
      <c r="H11" s="38">
        <v>1643019.7819999999</v>
      </c>
      <c r="I11" s="38">
        <v>5295526.4950000001</v>
      </c>
      <c r="J11" s="38">
        <v>13.342000000000001</v>
      </c>
      <c r="K11" s="56" t="s">
        <v>11</v>
      </c>
      <c r="L11" s="38">
        <f t="shared" si="0"/>
        <v>1.0670000000000002</v>
      </c>
      <c r="M11" s="38">
        <v>1.875</v>
      </c>
      <c r="N11" s="54">
        <f>SUM(L11:M11)-O$4-P$4</f>
        <v>1.5820000000000001</v>
      </c>
    </row>
    <row r="12" spans="1:24" x14ac:dyDescent="0.3">
      <c r="A12" s="38" t="s">
        <v>522</v>
      </c>
      <c r="B12" s="38" t="s">
        <v>505</v>
      </c>
      <c r="C12" s="38" t="s">
        <v>658</v>
      </c>
      <c r="D12" s="51">
        <v>42767</v>
      </c>
      <c r="F12" s="38" t="s">
        <v>555</v>
      </c>
      <c r="G12" s="38" t="s">
        <v>556</v>
      </c>
      <c r="H12" s="38">
        <v>1643003.655</v>
      </c>
      <c r="I12" s="38">
        <v>5295522.5219999999</v>
      </c>
      <c r="J12" s="38">
        <v>13.467000000000001</v>
      </c>
      <c r="K12" s="56" t="s">
        <v>11</v>
      </c>
      <c r="L12" s="38">
        <f t="shared" si="0"/>
        <v>1.1920000000000002</v>
      </c>
      <c r="M12" s="38">
        <v>1.875</v>
      </c>
      <c r="N12" s="54">
        <f>SUM(L12:M12)-O$4-P$4</f>
        <v>1.7070000000000001</v>
      </c>
    </row>
    <row r="13" spans="1:24" x14ac:dyDescent="0.3">
      <c r="A13" s="38" t="s">
        <v>523</v>
      </c>
      <c r="B13" s="38" t="s">
        <v>505</v>
      </c>
      <c r="C13" s="38" t="s">
        <v>658</v>
      </c>
      <c r="D13" s="51">
        <v>42767</v>
      </c>
      <c r="F13" s="38" t="s">
        <v>557</v>
      </c>
      <c r="G13" s="38" t="s">
        <v>558</v>
      </c>
      <c r="H13" s="38">
        <v>1643003.43</v>
      </c>
      <c r="I13" s="38">
        <v>5295522.9519999996</v>
      </c>
      <c r="J13" s="38">
        <v>13.42</v>
      </c>
      <c r="K13" s="56" t="s">
        <v>11</v>
      </c>
      <c r="L13" s="38">
        <f t="shared" si="0"/>
        <v>1.1449999999999996</v>
      </c>
      <c r="M13" s="38">
        <v>1.875</v>
      </c>
      <c r="N13" s="54">
        <f>SUM(L13:M13)-O$4-P$4</f>
        <v>1.6599999999999995</v>
      </c>
    </row>
    <row r="14" spans="1:24" x14ac:dyDescent="0.3">
      <c r="A14" s="38" t="s">
        <v>524</v>
      </c>
      <c r="B14" s="38" t="s">
        <v>505</v>
      </c>
      <c r="C14" s="38" t="s">
        <v>658</v>
      </c>
      <c r="D14" s="51">
        <v>42767</v>
      </c>
      <c r="F14" s="38" t="s">
        <v>559</v>
      </c>
      <c r="G14" s="38" t="s">
        <v>560</v>
      </c>
      <c r="H14" s="38">
        <v>1643006.169</v>
      </c>
      <c r="I14" s="38">
        <v>5295519.5130000003</v>
      </c>
      <c r="J14" s="38">
        <v>13.781000000000001</v>
      </c>
      <c r="K14" s="56" t="s">
        <v>11</v>
      </c>
      <c r="L14" s="38">
        <f t="shared" si="0"/>
        <v>1.5060000000000002</v>
      </c>
      <c r="M14" s="38">
        <v>1.875</v>
      </c>
      <c r="N14" s="54">
        <f>SUM(L14:M14)-O$4-P$4</f>
        <v>2.0209999999999999</v>
      </c>
    </row>
    <row r="15" spans="1:24" x14ac:dyDescent="0.3">
      <c r="A15" s="38" t="s">
        <v>525</v>
      </c>
      <c r="B15" s="38" t="s">
        <v>505</v>
      </c>
      <c r="C15" s="38" t="s">
        <v>658</v>
      </c>
      <c r="D15" s="51">
        <v>42767</v>
      </c>
      <c r="F15" s="38" t="s">
        <v>561</v>
      </c>
      <c r="G15" s="38" t="s">
        <v>562</v>
      </c>
      <c r="H15" s="38">
        <v>1642989.39</v>
      </c>
      <c r="I15" s="38">
        <v>5295510.7649999997</v>
      </c>
      <c r="J15" s="38">
        <v>13.532999999999999</v>
      </c>
      <c r="K15" s="56" t="s">
        <v>11</v>
      </c>
      <c r="L15" s="38">
        <f t="shared" si="0"/>
        <v>1.2579999999999991</v>
      </c>
      <c r="M15" s="38">
        <v>1.875</v>
      </c>
      <c r="N15" s="54">
        <f>SUM(L15:M15)-O$4-P$4</f>
        <v>1.772999999999999</v>
      </c>
    </row>
    <row r="16" spans="1:24" x14ac:dyDescent="0.3">
      <c r="A16" s="38" t="s">
        <v>526</v>
      </c>
      <c r="B16" s="38" t="s">
        <v>505</v>
      </c>
      <c r="C16" s="38" t="s">
        <v>658</v>
      </c>
      <c r="D16" s="51">
        <v>42767</v>
      </c>
      <c r="F16" s="38" t="s">
        <v>563</v>
      </c>
      <c r="G16" s="38" t="s">
        <v>564</v>
      </c>
      <c r="H16" s="38">
        <v>1642976.605</v>
      </c>
      <c r="I16" s="38">
        <v>5295502.9950000001</v>
      </c>
      <c r="J16" s="38">
        <v>13.419</v>
      </c>
      <c r="K16" s="56" t="s">
        <v>11</v>
      </c>
      <c r="L16" s="38">
        <f t="shared" si="0"/>
        <v>1.1440000000000001</v>
      </c>
      <c r="M16" s="38">
        <v>1.875</v>
      </c>
      <c r="N16" s="54">
        <f>SUM(L16:M16)-O$4-P$4</f>
        <v>1.659</v>
      </c>
    </row>
    <row r="17" spans="1:19" x14ac:dyDescent="0.3">
      <c r="A17" s="38" t="s">
        <v>527</v>
      </c>
      <c r="B17" s="38" t="s">
        <v>505</v>
      </c>
      <c r="C17" s="38" t="s">
        <v>658</v>
      </c>
      <c r="D17" s="51">
        <v>42767</v>
      </c>
      <c r="F17" s="38" t="s">
        <v>565</v>
      </c>
      <c r="G17" s="38" t="s">
        <v>566</v>
      </c>
      <c r="H17" s="38">
        <v>1642977.4010000001</v>
      </c>
      <c r="I17" s="38">
        <v>5295503.3590000002</v>
      </c>
      <c r="J17" s="38">
        <v>13.448</v>
      </c>
      <c r="K17" s="56" t="s">
        <v>11</v>
      </c>
      <c r="L17" s="38">
        <f t="shared" si="0"/>
        <v>1.173</v>
      </c>
      <c r="M17" s="38">
        <v>1.875</v>
      </c>
      <c r="N17" s="54">
        <f>SUM(L17:M17)-O$4-P$4</f>
        <v>1.6879999999999999</v>
      </c>
    </row>
    <row r="18" spans="1:19" x14ac:dyDescent="0.3">
      <c r="A18" s="38" t="s">
        <v>528</v>
      </c>
      <c r="B18" s="38" t="s">
        <v>505</v>
      </c>
      <c r="C18" s="38" t="s">
        <v>658</v>
      </c>
      <c r="D18" s="51">
        <v>42767</v>
      </c>
      <c r="F18" s="38" t="s">
        <v>567</v>
      </c>
      <c r="G18" s="38" t="s">
        <v>568</v>
      </c>
      <c r="H18" s="38">
        <v>1642980.781</v>
      </c>
      <c r="I18" s="38">
        <v>5295500.5949999997</v>
      </c>
      <c r="J18" s="38">
        <v>13.573</v>
      </c>
      <c r="K18" s="56" t="s">
        <v>11</v>
      </c>
      <c r="L18" s="38">
        <f t="shared" si="0"/>
        <v>1.298</v>
      </c>
      <c r="M18" s="38">
        <v>1.875</v>
      </c>
      <c r="N18" s="54">
        <f>SUM(L18:M18)-O$4-P$4</f>
        <v>1.8129999999999999</v>
      </c>
    </row>
    <row r="19" spans="1:19" x14ac:dyDescent="0.3">
      <c r="A19" s="38" t="s">
        <v>529</v>
      </c>
      <c r="B19" s="38" t="s">
        <v>505</v>
      </c>
      <c r="C19" s="38" t="s">
        <v>658</v>
      </c>
      <c r="D19" s="51">
        <v>42767</v>
      </c>
      <c r="F19" s="38" t="s">
        <v>569</v>
      </c>
      <c r="G19" s="38" t="s">
        <v>570</v>
      </c>
      <c r="H19" s="38">
        <v>1642980.7279999999</v>
      </c>
      <c r="I19" s="38">
        <v>5295499.6720000003</v>
      </c>
      <c r="J19" s="38">
        <v>13.601000000000001</v>
      </c>
      <c r="K19" s="56" t="s">
        <v>11</v>
      </c>
      <c r="L19" s="38">
        <f t="shared" si="0"/>
        <v>1.3260000000000005</v>
      </c>
      <c r="M19" s="38">
        <v>1.875</v>
      </c>
      <c r="N19" s="54">
        <f>SUM(L19:M19)-O$4-P$4</f>
        <v>1.8410000000000004</v>
      </c>
    </row>
    <row r="20" spans="1:19" x14ac:dyDescent="0.3">
      <c r="A20" s="38" t="s">
        <v>530</v>
      </c>
      <c r="B20" s="38" t="s">
        <v>505</v>
      </c>
      <c r="C20" s="38" t="s">
        <v>658</v>
      </c>
      <c r="D20" s="51">
        <v>42767</v>
      </c>
      <c r="F20" s="38" t="s">
        <v>571</v>
      </c>
      <c r="G20" s="38" t="s">
        <v>572</v>
      </c>
      <c r="H20" s="38">
        <v>1642980.5460000001</v>
      </c>
      <c r="I20" s="38">
        <v>5295492.4869999997</v>
      </c>
      <c r="J20" s="38">
        <v>13.423999999999999</v>
      </c>
      <c r="K20" s="56" t="s">
        <v>11</v>
      </c>
      <c r="L20" s="38">
        <f t="shared" si="0"/>
        <v>1.1489999999999991</v>
      </c>
      <c r="M20" s="38">
        <v>1.875</v>
      </c>
      <c r="N20" s="54">
        <f>SUM(L20:M20)-O$4-P$4</f>
        <v>1.663999999999999</v>
      </c>
    </row>
    <row r="21" spans="1:19" x14ac:dyDescent="0.3">
      <c r="A21" s="38" t="s">
        <v>531</v>
      </c>
      <c r="B21" s="38" t="s">
        <v>505</v>
      </c>
      <c r="C21" s="38" t="s">
        <v>658</v>
      </c>
      <c r="D21" s="51">
        <v>42767</v>
      </c>
      <c r="F21" s="38" t="s">
        <v>573</v>
      </c>
      <c r="G21" s="38" t="s">
        <v>574</v>
      </c>
      <c r="H21" s="38">
        <v>1642981.122</v>
      </c>
      <c r="I21" s="38">
        <v>5295489.4730000002</v>
      </c>
      <c r="J21" s="38">
        <v>13.596</v>
      </c>
      <c r="K21" s="56" t="s">
        <v>11</v>
      </c>
      <c r="L21" s="38">
        <f t="shared" si="0"/>
        <v>1.3209999999999997</v>
      </c>
      <c r="M21" s="38">
        <v>1.875</v>
      </c>
      <c r="N21" s="54">
        <f>SUM(L21:M21)-O$4-P$4</f>
        <v>1.8359999999999996</v>
      </c>
    </row>
    <row r="22" spans="1:19" x14ac:dyDescent="0.3">
      <c r="A22" s="38" t="s">
        <v>532</v>
      </c>
      <c r="B22" s="38" t="s">
        <v>505</v>
      </c>
      <c r="C22" s="38" t="s">
        <v>658</v>
      </c>
      <c r="D22" s="51">
        <v>42767</v>
      </c>
      <c r="F22" s="38" t="s">
        <v>575</v>
      </c>
      <c r="G22" s="38" t="s">
        <v>576</v>
      </c>
      <c r="H22" s="38">
        <v>1643006.0789999999</v>
      </c>
      <c r="I22" s="38">
        <v>5295471.4519999996</v>
      </c>
      <c r="J22" s="38">
        <v>13.467000000000001</v>
      </c>
      <c r="K22" s="56" t="s">
        <v>11</v>
      </c>
      <c r="L22" s="38">
        <f t="shared" si="0"/>
        <v>1.1920000000000002</v>
      </c>
      <c r="M22" s="38">
        <v>1.875</v>
      </c>
      <c r="N22" s="54">
        <f>SUM(L22:M22)-O$4-P$4</f>
        <v>1.7070000000000001</v>
      </c>
    </row>
    <row r="23" spans="1:19" x14ac:dyDescent="0.3">
      <c r="A23" s="38" t="s">
        <v>533</v>
      </c>
      <c r="B23" s="38" t="s">
        <v>505</v>
      </c>
      <c r="C23" s="38" t="s">
        <v>658</v>
      </c>
      <c r="D23" s="51">
        <v>42767</v>
      </c>
      <c r="F23" s="38" t="s">
        <v>577</v>
      </c>
      <c r="G23" s="38" t="s">
        <v>578</v>
      </c>
      <c r="H23" s="38">
        <v>1643006.351</v>
      </c>
      <c r="I23" s="38">
        <v>5295471.67</v>
      </c>
      <c r="J23" s="38">
        <v>13.46</v>
      </c>
      <c r="K23" s="56" t="s">
        <v>11</v>
      </c>
      <c r="L23" s="38">
        <f t="shared" si="0"/>
        <v>1.1850000000000005</v>
      </c>
      <c r="M23" s="38">
        <v>1.875</v>
      </c>
      <c r="N23" s="54">
        <f>SUM(L23:M23)-O$4-P$4</f>
        <v>1.7000000000000004</v>
      </c>
    </row>
    <row r="24" spans="1:19" x14ac:dyDescent="0.3">
      <c r="A24" s="38" t="s">
        <v>534</v>
      </c>
      <c r="B24" s="38" t="s">
        <v>505</v>
      </c>
      <c r="C24" s="38" t="s">
        <v>658</v>
      </c>
      <c r="D24" s="51">
        <v>42767</v>
      </c>
      <c r="F24" s="38" t="s">
        <v>579</v>
      </c>
      <c r="G24" s="38" t="s">
        <v>580</v>
      </c>
      <c r="H24" s="38">
        <v>1643009.575</v>
      </c>
      <c r="I24" s="38">
        <v>5295473.5219999999</v>
      </c>
      <c r="J24" s="38">
        <v>13.522</v>
      </c>
      <c r="K24" s="56" t="s">
        <v>11</v>
      </c>
      <c r="L24" s="38">
        <f t="shared" si="0"/>
        <v>1.2469999999999999</v>
      </c>
      <c r="M24" s="38">
        <v>1.875</v>
      </c>
      <c r="N24" s="54">
        <f>SUM(L24:M24)-O$4-P$4</f>
        <v>1.7619999999999998</v>
      </c>
    </row>
    <row r="25" spans="1:19" x14ac:dyDescent="0.3">
      <c r="A25" s="38" t="s">
        <v>535</v>
      </c>
      <c r="B25" s="38" t="s">
        <v>505</v>
      </c>
      <c r="C25" s="38" t="s">
        <v>658</v>
      </c>
      <c r="D25" s="51">
        <v>42767</v>
      </c>
      <c r="F25" s="38" t="s">
        <v>581</v>
      </c>
      <c r="G25" s="38" t="s">
        <v>582</v>
      </c>
      <c r="H25" s="38">
        <v>1643007.889</v>
      </c>
      <c r="I25" s="38">
        <v>5295464.0760000004</v>
      </c>
      <c r="J25" s="38">
        <v>13.388999999999999</v>
      </c>
      <c r="K25" s="56" t="s">
        <v>11</v>
      </c>
      <c r="L25" s="38">
        <f t="shared" si="0"/>
        <v>1.113999999999999</v>
      </c>
      <c r="M25" s="38">
        <v>1.875</v>
      </c>
      <c r="N25" s="54">
        <f>SUM(L25:M25)-O$4-P$4</f>
        <v>1.6289999999999989</v>
      </c>
    </row>
    <row r="26" spans="1:19" x14ac:dyDescent="0.3">
      <c r="A26" s="38" t="s">
        <v>536</v>
      </c>
      <c r="B26" s="38" t="s">
        <v>505</v>
      </c>
      <c r="C26" s="38" t="s">
        <v>658</v>
      </c>
      <c r="D26" s="51">
        <v>42767</v>
      </c>
      <c r="F26" s="38" t="s">
        <v>583</v>
      </c>
      <c r="G26" s="38" t="s">
        <v>584</v>
      </c>
      <c r="H26" s="38">
        <v>1643007.8470000001</v>
      </c>
      <c r="I26" s="38">
        <v>5295464.892</v>
      </c>
      <c r="J26" s="38">
        <v>13.484999999999999</v>
      </c>
      <c r="K26" s="56" t="s">
        <v>11</v>
      </c>
      <c r="L26" s="38">
        <f t="shared" si="0"/>
        <v>1.2099999999999991</v>
      </c>
      <c r="M26" s="38">
        <v>1.875</v>
      </c>
      <c r="N26" s="54">
        <f>SUM(L26:M26)-O$4-P$4</f>
        <v>1.724999999999999</v>
      </c>
    </row>
    <row r="27" spans="1:19" x14ac:dyDescent="0.3">
      <c r="A27" s="38" t="s">
        <v>14</v>
      </c>
      <c r="B27" s="38" t="s">
        <v>15</v>
      </c>
      <c r="C27" s="38" t="s">
        <v>658</v>
      </c>
      <c r="D27" s="51">
        <v>42768</v>
      </c>
      <c r="E27" s="52">
        <v>0.74375000000000002</v>
      </c>
      <c r="F27" s="38" t="s">
        <v>16</v>
      </c>
      <c r="G27" s="38" t="s">
        <v>17</v>
      </c>
      <c r="H27" s="38">
        <v>1644126.6229999999</v>
      </c>
      <c r="I27" s="38">
        <v>5297642.8859999999</v>
      </c>
      <c r="J27" s="38">
        <v>12.179</v>
      </c>
      <c r="K27" s="56"/>
      <c r="N27" s="54"/>
      <c r="O27" s="54"/>
      <c r="P27" s="54"/>
      <c r="Q27" s="54"/>
      <c r="S27" s="54"/>
    </row>
    <row r="28" spans="1:19" x14ac:dyDescent="0.3">
      <c r="A28" s="38" t="s">
        <v>18</v>
      </c>
      <c r="B28" s="38" t="s">
        <v>15</v>
      </c>
      <c r="C28" s="38" t="s">
        <v>658</v>
      </c>
      <c r="D28" s="51">
        <v>42768</v>
      </c>
      <c r="E28" s="52"/>
      <c r="F28" s="38" t="s">
        <v>19</v>
      </c>
      <c r="G28" s="38" t="s">
        <v>20</v>
      </c>
      <c r="H28" s="38">
        <v>1644124.8160000001</v>
      </c>
      <c r="I28" s="38">
        <v>5297640.449</v>
      </c>
      <c r="J28" s="38">
        <v>12.95</v>
      </c>
      <c r="K28" s="56" t="s">
        <v>11</v>
      </c>
      <c r="L28" s="38">
        <f>J28-J$27</f>
        <v>0.77099999999999902</v>
      </c>
      <c r="M28" s="38">
        <v>1.734</v>
      </c>
      <c r="N28" s="54">
        <f>SUM(L28:M28)-O$28-P$28</f>
        <v>1.1449999999999989</v>
      </c>
      <c r="O28" s="54">
        <v>1.1000000000000001</v>
      </c>
      <c r="P28" s="54">
        <v>0.26</v>
      </c>
      <c r="Q28" s="54">
        <f>AVERAGE(N28:N46)</f>
        <v>1.2649473684210524</v>
      </c>
      <c r="R28" s="54">
        <f>STDEVA(N28:N46)</f>
        <v>0.10779325565596554</v>
      </c>
      <c r="S28" s="54"/>
    </row>
    <row r="29" spans="1:19" x14ac:dyDescent="0.3">
      <c r="A29" s="38" t="s">
        <v>21</v>
      </c>
      <c r="B29" s="38" t="s">
        <v>15</v>
      </c>
      <c r="C29" s="38" t="s">
        <v>658</v>
      </c>
      <c r="D29" s="51">
        <v>42768</v>
      </c>
      <c r="E29" s="52"/>
      <c r="F29" s="38" t="s">
        <v>22</v>
      </c>
      <c r="G29" s="38" t="s">
        <v>23</v>
      </c>
      <c r="H29" s="38">
        <v>1644125.8259999999</v>
      </c>
      <c r="I29" s="38">
        <v>5297640.2240000004</v>
      </c>
      <c r="J29" s="38">
        <v>12.968</v>
      </c>
      <c r="K29" s="56" t="s">
        <v>11</v>
      </c>
      <c r="L29" s="38">
        <f t="shared" ref="L29:L46" si="1">J29-J$27</f>
        <v>0.7889999999999997</v>
      </c>
      <c r="M29" s="38">
        <v>1.734</v>
      </c>
      <c r="N29" s="54">
        <f>SUM(L29:M29)-O$28-P$28</f>
        <v>1.1629999999999996</v>
      </c>
      <c r="O29" s="54"/>
      <c r="P29" s="54"/>
      <c r="Q29" s="54"/>
      <c r="S29" s="54"/>
    </row>
    <row r="30" spans="1:19" x14ac:dyDescent="0.3">
      <c r="A30" s="38" t="s">
        <v>24</v>
      </c>
      <c r="B30" s="38" t="s">
        <v>15</v>
      </c>
      <c r="C30" s="38" t="s">
        <v>658</v>
      </c>
      <c r="D30" s="51">
        <v>42768</v>
      </c>
      <c r="E30" s="52"/>
      <c r="F30" s="38" t="s">
        <v>25</v>
      </c>
      <c r="G30" s="38" t="s">
        <v>26</v>
      </c>
      <c r="H30" s="38">
        <v>1644127.328</v>
      </c>
      <c r="I30" s="38">
        <v>5297639.784</v>
      </c>
      <c r="J30" s="38">
        <v>13.045999999999999</v>
      </c>
      <c r="K30" s="56" t="s">
        <v>11</v>
      </c>
      <c r="L30" s="38">
        <f t="shared" si="1"/>
        <v>0.8669999999999991</v>
      </c>
      <c r="M30" s="38">
        <v>1.734</v>
      </c>
      <c r="N30" s="54">
        <f>SUM(L30:M30)-O$28-P$28</f>
        <v>1.240999999999999</v>
      </c>
      <c r="O30" s="54"/>
      <c r="P30" s="54"/>
      <c r="Q30" s="54"/>
      <c r="S30" s="54"/>
    </row>
    <row r="31" spans="1:19" x14ac:dyDescent="0.3">
      <c r="A31" s="38" t="s">
        <v>27</v>
      </c>
      <c r="B31" s="38" t="s">
        <v>15</v>
      </c>
      <c r="C31" s="38" t="s">
        <v>658</v>
      </c>
      <c r="D31" s="51">
        <v>42768</v>
      </c>
      <c r="E31" s="52"/>
      <c r="F31" s="38" t="s">
        <v>28</v>
      </c>
      <c r="G31" s="38" t="s">
        <v>29</v>
      </c>
      <c r="H31" s="38">
        <v>1644128.89</v>
      </c>
      <c r="I31" s="38">
        <v>5297639.7790000001</v>
      </c>
      <c r="J31" s="38">
        <v>13.076000000000001</v>
      </c>
      <c r="K31" s="56" t="s">
        <v>11</v>
      </c>
      <c r="L31" s="38">
        <f t="shared" si="1"/>
        <v>0.89700000000000024</v>
      </c>
      <c r="M31" s="38">
        <v>1.734</v>
      </c>
      <c r="N31" s="54">
        <f>SUM(L31:M31)-O$28-P$28</f>
        <v>1.2710000000000001</v>
      </c>
      <c r="O31" s="54"/>
      <c r="P31" s="54"/>
      <c r="Q31" s="54"/>
      <c r="S31" s="54"/>
    </row>
    <row r="32" spans="1:19" x14ac:dyDescent="0.3">
      <c r="A32" s="38" t="s">
        <v>30</v>
      </c>
      <c r="B32" s="38" t="s">
        <v>15</v>
      </c>
      <c r="C32" s="38" t="s">
        <v>658</v>
      </c>
      <c r="D32" s="51">
        <v>42768</v>
      </c>
      <c r="E32" s="52"/>
      <c r="F32" s="38" t="s">
        <v>31</v>
      </c>
      <c r="G32" s="38" t="s">
        <v>32</v>
      </c>
      <c r="H32" s="38">
        <v>1644129.8810000001</v>
      </c>
      <c r="I32" s="38">
        <v>5297639.9139999999</v>
      </c>
      <c r="J32" s="38">
        <v>13.068</v>
      </c>
      <c r="K32" s="56" t="s">
        <v>11</v>
      </c>
      <c r="L32" s="38">
        <f t="shared" si="1"/>
        <v>0.88899999999999935</v>
      </c>
      <c r="M32" s="38">
        <v>1.734</v>
      </c>
      <c r="N32" s="54">
        <f>SUM(L32:M32)-O$28-P$28</f>
        <v>1.2629999999999992</v>
      </c>
      <c r="O32" s="54"/>
      <c r="P32" s="54"/>
      <c r="Q32" s="54"/>
      <c r="S32" s="54"/>
    </row>
    <row r="33" spans="1:19" x14ac:dyDescent="0.3">
      <c r="A33" s="38" t="s">
        <v>33</v>
      </c>
      <c r="B33" s="38" t="s">
        <v>15</v>
      </c>
      <c r="C33" s="38" t="s">
        <v>658</v>
      </c>
      <c r="D33" s="51">
        <v>42768</v>
      </c>
      <c r="E33" s="52"/>
      <c r="F33" s="38" t="s">
        <v>34</v>
      </c>
      <c r="G33" s="38" t="s">
        <v>35</v>
      </c>
      <c r="H33" s="38">
        <v>1644129.8319999999</v>
      </c>
      <c r="I33" s="38">
        <v>5297637.8030000003</v>
      </c>
      <c r="J33" s="38">
        <v>13.162000000000001</v>
      </c>
      <c r="K33" s="56" t="s">
        <v>11</v>
      </c>
      <c r="L33" s="38">
        <f t="shared" si="1"/>
        <v>0.98300000000000054</v>
      </c>
      <c r="M33" s="38">
        <v>1.734</v>
      </c>
      <c r="N33" s="54">
        <f>SUM(L33:M33)-O$28-P$28</f>
        <v>1.3570000000000004</v>
      </c>
      <c r="O33" s="54"/>
      <c r="P33" s="54"/>
      <c r="Q33" s="54"/>
      <c r="S33" s="54"/>
    </row>
    <row r="34" spans="1:19" x14ac:dyDescent="0.3">
      <c r="A34" s="38" t="s">
        <v>36</v>
      </c>
      <c r="B34" s="38" t="s">
        <v>15</v>
      </c>
      <c r="C34" s="38" t="s">
        <v>658</v>
      </c>
      <c r="D34" s="51">
        <v>42768</v>
      </c>
      <c r="E34" s="52"/>
      <c r="F34" s="38" t="s">
        <v>37</v>
      </c>
      <c r="G34" s="38" t="s">
        <v>38</v>
      </c>
      <c r="H34" s="38">
        <v>1644128.469</v>
      </c>
      <c r="I34" s="38">
        <v>5297637.4890000001</v>
      </c>
      <c r="J34" s="38">
        <v>13.313000000000001</v>
      </c>
      <c r="K34" s="56" t="s">
        <v>11</v>
      </c>
      <c r="L34" s="38">
        <f t="shared" si="1"/>
        <v>1.1340000000000003</v>
      </c>
      <c r="M34" s="38">
        <v>1.734</v>
      </c>
      <c r="N34" s="54">
        <f>SUM(L34:M34)-O$28-P$28</f>
        <v>1.5080000000000002</v>
      </c>
      <c r="O34" s="54"/>
      <c r="P34" s="54"/>
      <c r="Q34" s="54"/>
      <c r="S34" s="54"/>
    </row>
    <row r="35" spans="1:19" x14ac:dyDescent="0.3">
      <c r="A35" s="38" t="s">
        <v>39</v>
      </c>
      <c r="B35" s="38" t="s">
        <v>15</v>
      </c>
      <c r="C35" s="38" t="s">
        <v>658</v>
      </c>
      <c r="D35" s="51">
        <v>42768</v>
      </c>
      <c r="E35" s="52"/>
      <c r="F35" s="38" t="s">
        <v>40</v>
      </c>
      <c r="G35" s="38" t="s">
        <v>41</v>
      </c>
      <c r="H35" s="38">
        <v>1644123.645</v>
      </c>
      <c r="I35" s="38">
        <v>5297636.1069999998</v>
      </c>
      <c r="J35" s="38">
        <v>12.949</v>
      </c>
      <c r="K35" s="56" t="s">
        <v>11</v>
      </c>
      <c r="L35" s="38">
        <f t="shared" si="1"/>
        <v>0.76999999999999957</v>
      </c>
      <c r="M35" s="38">
        <v>1.734</v>
      </c>
      <c r="N35" s="54">
        <f>SUM(L35:M35)-O$28-P$28</f>
        <v>1.1439999999999995</v>
      </c>
      <c r="O35" s="54"/>
      <c r="P35" s="54"/>
      <c r="Q35" s="54"/>
      <c r="S35" s="54"/>
    </row>
    <row r="36" spans="1:19" x14ac:dyDescent="0.3">
      <c r="A36" s="38" t="s">
        <v>42</v>
      </c>
      <c r="B36" s="38" t="s">
        <v>15</v>
      </c>
      <c r="C36" s="38" t="s">
        <v>658</v>
      </c>
      <c r="D36" s="51">
        <v>42768</v>
      </c>
      <c r="E36" s="52"/>
      <c r="F36" s="38" t="s">
        <v>43</v>
      </c>
      <c r="G36" s="38" t="s">
        <v>44</v>
      </c>
      <c r="H36" s="38">
        <v>1644125.5360000001</v>
      </c>
      <c r="I36" s="38">
        <v>5297633.7290000003</v>
      </c>
      <c r="J36" s="38">
        <v>12.933</v>
      </c>
      <c r="K36" s="56" t="s">
        <v>11</v>
      </c>
      <c r="L36" s="38">
        <f t="shared" si="1"/>
        <v>0.75399999999999956</v>
      </c>
      <c r="M36" s="38">
        <v>1.734</v>
      </c>
      <c r="N36" s="54">
        <f>SUM(L36:M36)-O$28-P$28</f>
        <v>1.1279999999999994</v>
      </c>
      <c r="O36" s="54"/>
      <c r="P36" s="54"/>
      <c r="Q36" s="54"/>
      <c r="S36" s="54"/>
    </row>
    <row r="37" spans="1:19" x14ac:dyDescent="0.3">
      <c r="A37" s="38" t="s">
        <v>45</v>
      </c>
      <c r="B37" s="38" t="s">
        <v>15</v>
      </c>
      <c r="C37" s="38" t="s">
        <v>658</v>
      </c>
      <c r="D37" s="51">
        <v>42768</v>
      </c>
      <c r="E37" s="52"/>
      <c r="F37" s="38" t="s">
        <v>46</v>
      </c>
      <c r="G37" s="38" t="s">
        <v>47</v>
      </c>
      <c r="H37" s="38">
        <v>1644127.2279999999</v>
      </c>
      <c r="I37" s="38">
        <v>5297633.1610000003</v>
      </c>
      <c r="J37" s="38">
        <v>13.02</v>
      </c>
      <c r="K37" s="56" t="s">
        <v>11</v>
      </c>
      <c r="L37" s="38">
        <f t="shared" si="1"/>
        <v>0.8409999999999993</v>
      </c>
      <c r="M37" s="38">
        <v>1.734</v>
      </c>
      <c r="N37" s="54">
        <f>SUM(L37:M37)-O$28-P$28</f>
        <v>1.2149999999999992</v>
      </c>
      <c r="O37" s="54"/>
      <c r="P37" s="54"/>
      <c r="Q37" s="54"/>
      <c r="S37" s="54"/>
    </row>
    <row r="38" spans="1:19" x14ac:dyDescent="0.3">
      <c r="A38" s="38" t="s">
        <v>48</v>
      </c>
      <c r="B38" s="38" t="s">
        <v>15</v>
      </c>
      <c r="C38" s="38" t="s">
        <v>658</v>
      </c>
      <c r="D38" s="51">
        <v>42768</v>
      </c>
      <c r="E38" s="52"/>
      <c r="F38" s="38" t="s">
        <v>49</v>
      </c>
      <c r="G38" s="38" t="s">
        <v>50</v>
      </c>
      <c r="H38" s="38">
        <v>1644129.112</v>
      </c>
      <c r="I38" s="38">
        <v>5297632.59</v>
      </c>
      <c r="J38" s="38">
        <v>13.14</v>
      </c>
      <c r="K38" s="56" t="s">
        <v>11</v>
      </c>
      <c r="L38" s="38">
        <f t="shared" si="1"/>
        <v>0.9610000000000003</v>
      </c>
      <c r="M38" s="38">
        <v>1.734</v>
      </c>
      <c r="N38" s="54">
        <f>SUM(L38:M38)-O$28-P$28</f>
        <v>1.3350000000000002</v>
      </c>
      <c r="O38" s="54"/>
      <c r="P38" s="54"/>
      <c r="Q38" s="54"/>
      <c r="S38" s="54"/>
    </row>
    <row r="39" spans="1:19" x14ac:dyDescent="0.3">
      <c r="A39" s="38" t="s">
        <v>51</v>
      </c>
      <c r="B39" s="38" t="s">
        <v>15</v>
      </c>
      <c r="C39" s="38" t="s">
        <v>658</v>
      </c>
      <c r="D39" s="51">
        <v>42768</v>
      </c>
      <c r="E39" s="52"/>
      <c r="F39" s="38" t="s">
        <v>52</v>
      </c>
      <c r="G39" s="38" t="s">
        <v>53</v>
      </c>
      <c r="H39" s="38">
        <v>1644130.1089999999</v>
      </c>
      <c r="I39" s="38">
        <v>5297633.0609999998</v>
      </c>
      <c r="J39" s="38">
        <v>13.175000000000001</v>
      </c>
      <c r="K39" s="56" t="s">
        <v>11</v>
      </c>
      <c r="L39" s="38">
        <f t="shared" si="1"/>
        <v>0.99600000000000044</v>
      </c>
      <c r="M39" s="38">
        <v>1.734</v>
      </c>
      <c r="N39" s="54">
        <f>SUM(L39:M39)-O$28-P$28</f>
        <v>1.3700000000000003</v>
      </c>
      <c r="O39" s="54"/>
      <c r="P39" s="54"/>
      <c r="Q39" s="54"/>
      <c r="S39" s="54"/>
    </row>
    <row r="40" spans="1:19" x14ac:dyDescent="0.3">
      <c r="A40" s="38" t="s">
        <v>54</v>
      </c>
      <c r="B40" s="38" t="s">
        <v>15</v>
      </c>
      <c r="C40" s="38" t="s">
        <v>658</v>
      </c>
      <c r="D40" s="51">
        <v>42768</v>
      </c>
      <c r="E40" s="52"/>
      <c r="F40" s="38" t="s">
        <v>55</v>
      </c>
      <c r="G40" s="38" t="s">
        <v>56</v>
      </c>
      <c r="H40" s="38">
        <v>1644131.0379999999</v>
      </c>
      <c r="I40" s="38">
        <v>5297633.3090000004</v>
      </c>
      <c r="J40" s="38">
        <v>13.147</v>
      </c>
      <c r="K40" s="56" t="s">
        <v>11</v>
      </c>
      <c r="L40" s="38">
        <f t="shared" si="1"/>
        <v>0.96799999999999997</v>
      </c>
      <c r="M40" s="38">
        <v>1.734</v>
      </c>
      <c r="N40" s="54">
        <f>SUM(L40:M40)-O$28-P$28</f>
        <v>1.3419999999999999</v>
      </c>
      <c r="O40" s="54"/>
      <c r="P40" s="54"/>
      <c r="Q40" s="54"/>
      <c r="S40" s="54"/>
    </row>
    <row r="41" spans="1:19" x14ac:dyDescent="0.3">
      <c r="A41" s="38" t="s">
        <v>57</v>
      </c>
      <c r="B41" s="38" t="s">
        <v>15</v>
      </c>
      <c r="C41" s="38" t="s">
        <v>658</v>
      </c>
      <c r="D41" s="51">
        <v>42768</v>
      </c>
      <c r="E41" s="52"/>
      <c r="F41" s="38" t="s">
        <v>58</v>
      </c>
      <c r="G41" s="38" t="s">
        <v>59</v>
      </c>
      <c r="H41" s="38">
        <v>1644130.66</v>
      </c>
      <c r="I41" s="38">
        <v>5297629.1279999996</v>
      </c>
      <c r="J41" s="38">
        <v>13.282</v>
      </c>
      <c r="K41" s="56" t="s">
        <v>11</v>
      </c>
      <c r="L41" s="38">
        <f t="shared" si="1"/>
        <v>1.1029999999999998</v>
      </c>
      <c r="M41" s="38">
        <v>1.734</v>
      </c>
      <c r="N41" s="54">
        <f>SUM(L41:M41)-O$28-P$28</f>
        <v>1.4769999999999996</v>
      </c>
      <c r="O41" s="54"/>
      <c r="P41" s="54"/>
      <c r="Q41" s="54"/>
      <c r="S41" s="54"/>
    </row>
    <row r="42" spans="1:19" x14ac:dyDescent="0.3">
      <c r="A42" s="38" t="s">
        <v>60</v>
      </c>
      <c r="B42" s="38" t="s">
        <v>15</v>
      </c>
      <c r="C42" s="38" t="s">
        <v>658</v>
      </c>
      <c r="D42" s="51">
        <v>42768</v>
      </c>
      <c r="E42" s="52"/>
      <c r="F42" s="38" t="s">
        <v>61</v>
      </c>
      <c r="G42" s="38" t="s">
        <v>62</v>
      </c>
      <c r="H42" s="38">
        <v>1644127.1140000001</v>
      </c>
      <c r="I42" s="38">
        <v>5297627.5049999999</v>
      </c>
      <c r="J42" s="38">
        <v>13.019</v>
      </c>
      <c r="K42" s="56" t="s">
        <v>11</v>
      </c>
      <c r="L42" s="38">
        <f t="shared" si="1"/>
        <v>0.83999999999999986</v>
      </c>
      <c r="M42" s="38">
        <v>1.734</v>
      </c>
      <c r="N42" s="54">
        <f>SUM(L42:M42)-O$28-P$28</f>
        <v>1.2139999999999997</v>
      </c>
      <c r="O42" s="54"/>
      <c r="P42" s="54"/>
      <c r="Q42" s="54"/>
      <c r="S42" s="54"/>
    </row>
    <row r="43" spans="1:19" x14ac:dyDescent="0.3">
      <c r="A43" s="38" t="s">
        <v>63</v>
      </c>
      <c r="B43" s="38" t="s">
        <v>15</v>
      </c>
      <c r="C43" s="38" t="s">
        <v>658</v>
      </c>
      <c r="D43" s="51">
        <v>42768</v>
      </c>
      <c r="E43" s="52"/>
      <c r="F43" s="38" t="s">
        <v>64</v>
      </c>
      <c r="G43" s="38" t="s">
        <v>65</v>
      </c>
      <c r="H43" s="38">
        <v>1644127.0619999999</v>
      </c>
      <c r="I43" s="38">
        <v>5297627.9759999998</v>
      </c>
      <c r="J43" s="38">
        <v>13.047000000000001</v>
      </c>
      <c r="K43" s="56" t="s">
        <v>11</v>
      </c>
      <c r="L43" s="38">
        <f t="shared" si="1"/>
        <v>0.86800000000000033</v>
      </c>
      <c r="M43" s="38">
        <v>1.734</v>
      </c>
      <c r="N43" s="54">
        <f>SUM(L43:M43)-O$28-P$28</f>
        <v>1.2420000000000002</v>
      </c>
      <c r="O43" s="54"/>
      <c r="P43" s="54"/>
      <c r="Q43" s="54"/>
      <c r="S43" s="54"/>
    </row>
    <row r="44" spans="1:19" x14ac:dyDescent="0.3">
      <c r="A44" s="38" t="s">
        <v>66</v>
      </c>
      <c r="B44" s="38" t="s">
        <v>15</v>
      </c>
      <c r="C44" s="38" t="s">
        <v>658</v>
      </c>
      <c r="D44" s="51">
        <v>42768</v>
      </c>
      <c r="E44" s="52"/>
      <c r="F44" s="38" t="s">
        <v>67</v>
      </c>
      <c r="G44" s="38" t="s">
        <v>68</v>
      </c>
      <c r="H44" s="38">
        <v>1644126.558</v>
      </c>
      <c r="I44" s="38">
        <v>5297629.6909999996</v>
      </c>
      <c r="J44" s="38">
        <v>13.016999999999999</v>
      </c>
      <c r="K44" s="56" t="s">
        <v>11</v>
      </c>
      <c r="L44" s="38">
        <f t="shared" si="1"/>
        <v>0.83799999999999919</v>
      </c>
      <c r="M44" s="38">
        <v>1.734</v>
      </c>
      <c r="N44" s="54">
        <f>SUM(L44:M44)-O$28-P$28</f>
        <v>1.2119999999999991</v>
      </c>
      <c r="O44" s="54"/>
      <c r="P44" s="54"/>
      <c r="Q44" s="54"/>
      <c r="S44" s="54"/>
    </row>
    <row r="45" spans="1:19" x14ac:dyDescent="0.3">
      <c r="A45" s="38" t="s">
        <v>69</v>
      </c>
      <c r="B45" s="38" t="s">
        <v>15</v>
      </c>
      <c r="C45" s="38" t="s">
        <v>658</v>
      </c>
      <c r="D45" s="51">
        <v>42768</v>
      </c>
      <c r="E45" s="52"/>
      <c r="F45" s="38" t="s">
        <v>70</v>
      </c>
      <c r="G45" s="38" t="s">
        <v>71</v>
      </c>
      <c r="H45" s="38">
        <v>1644126.4169999999</v>
      </c>
      <c r="I45" s="38">
        <v>5297630.3789999997</v>
      </c>
      <c r="J45" s="38">
        <v>13.007</v>
      </c>
      <c r="K45" s="56" t="s">
        <v>11</v>
      </c>
      <c r="L45" s="38">
        <f t="shared" si="1"/>
        <v>0.8279999999999994</v>
      </c>
      <c r="M45" s="38">
        <v>1.734</v>
      </c>
      <c r="N45" s="54">
        <f>SUM(L45:M45)-O$28-P$28</f>
        <v>1.2019999999999993</v>
      </c>
      <c r="O45" s="54"/>
      <c r="P45" s="54"/>
      <c r="Q45" s="54"/>
      <c r="S45" s="54"/>
    </row>
    <row r="46" spans="1:19" x14ac:dyDescent="0.3">
      <c r="A46" s="38" t="s">
        <v>72</v>
      </c>
      <c r="B46" s="38" t="s">
        <v>15</v>
      </c>
      <c r="C46" s="38" t="s">
        <v>658</v>
      </c>
      <c r="D46" s="51">
        <v>42768</v>
      </c>
      <c r="E46" s="52"/>
      <c r="F46" s="38" t="s">
        <v>73</v>
      </c>
      <c r="G46" s="38" t="s">
        <v>74</v>
      </c>
      <c r="H46" s="38">
        <v>1644128.22</v>
      </c>
      <c r="I46" s="38">
        <v>5297631.5810000002</v>
      </c>
      <c r="J46" s="38">
        <v>13.01</v>
      </c>
      <c r="K46" s="56" t="s">
        <v>11</v>
      </c>
      <c r="L46" s="38">
        <f t="shared" si="1"/>
        <v>0.83099999999999952</v>
      </c>
      <c r="M46" s="38">
        <v>1.734</v>
      </c>
      <c r="N46" s="54">
        <f>SUM(L46:M46)-O$28-P$28</f>
        <v>1.2049999999999994</v>
      </c>
      <c r="O46" s="54"/>
      <c r="P46" s="54"/>
      <c r="Q46" s="54"/>
      <c r="S46" s="54"/>
    </row>
    <row r="47" spans="1:19" x14ac:dyDescent="0.3">
      <c r="A47" s="38" t="s">
        <v>75</v>
      </c>
      <c r="B47" s="38" t="s">
        <v>15</v>
      </c>
      <c r="C47" s="38" t="s">
        <v>658</v>
      </c>
      <c r="D47" s="51">
        <v>42768</v>
      </c>
      <c r="E47" s="52">
        <v>0.74861111111111101</v>
      </c>
      <c r="F47" s="38" t="s">
        <v>76</v>
      </c>
      <c r="G47" s="38" t="s">
        <v>77</v>
      </c>
      <c r="H47" s="38">
        <v>1644129.875</v>
      </c>
      <c r="I47" s="38">
        <v>5297633.1140000001</v>
      </c>
      <c r="J47" s="38">
        <v>12.198</v>
      </c>
      <c r="K47" s="56"/>
      <c r="N47" s="54"/>
      <c r="O47" s="54"/>
      <c r="P47" s="54"/>
      <c r="Q47" s="54"/>
      <c r="S47" s="54"/>
    </row>
    <row r="48" spans="1:19" x14ac:dyDescent="0.3">
      <c r="A48" s="38" t="s">
        <v>78</v>
      </c>
      <c r="B48" s="38" t="s">
        <v>15</v>
      </c>
      <c r="C48" s="38" t="s">
        <v>658</v>
      </c>
      <c r="D48" s="51">
        <v>42768</v>
      </c>
      <c r="E48" s="52"/>
      <c r="F48" s="38" t="s">
        <v>79</v>
      </c>
      <c r="G48" s="38" t="s">
        <v>80</v>
      </c>
      <c r="H48" s="38">
        <v>1644128.2620000001</v>
      </c>
      <c r="I48" s="38">
        <v>5297632.1210000003</v>
      </c>
      <c r="J48" s="38">
        <v>13.15</v>
      </c>
      <c r="K48" s="56" t="s">
        <v>13</v>
      </c>
      <c r="L48" s="38">
        <f t="shared" ref="L48:L67" si="2">J48-J$47</f>
        <v>0.95199999999999996</v>
      </c>
      <c r="M48" s="54">
        <v>1.7849999999999999</v>
      </c>
      <c r="N48" s="54">
        <f>SUM(L48:M48)-O$48-P$48</f>
        <v>1.2570000000000001</v>
      </c>
      <c r="O48" s="54">
        <v>1.1000000000000001</v>
      </c>
      <c r="P48" s="54">
        <v>0.38</v>
      </c>
      <c r="Q48" s="54">
        <f>AVERAGE(N48:N67)</f>
        <v>1.2212499999999999</v>
      </c>
      <c r="R48" s="54">
        <f>STDEVA(N48:N67)</f>
        <v>0.18368562244970865</v>
      </c>
      <c r="S48" s="54"/>
    </row>
    <row r="49" spans="1:19" x14ac:dyDescent="0.3">
      <c r="A49" s="38" t="s">
        <v>81</v>
      </c>
      <c r="B49" s="38" t="s">
        <v>15</v>
      </c>
      <c r="C49" s="38" t="s">
        <v>658</v>
      </c>
      <c r="D49" s="51">
        <v>42768</v>
      </c>
      <c r="E49" s="52"/>
      <c r="F49" s="38" t="s">
        <v>82</v>
      </c>
      <c r="G49" s="38" t="s">
        <v>83</v>
      </c>
      <c r="H49" s="38">
        <v>1644128.547</v>
      </c>
      <c r="I49" s="38">
        <v>5297632.2529999996</v>
      </c>
      <c r="J49" s="38">
        <v>13.135999999999999</v>
      </c>
      <c r="K49" s="56" t="s">
        <v>13</v>
      </c>
      <c r="L49" s="38">
        <f t="shared" si="2"/>
        <v>0.93799999999999883</v>
      </c>
      <c r="M49" s="54">
        <v>1.7849999999999999</v>
      </c>
      <c r="N49" s="54">
        <f>SUM(L49:M49)-O$48-P$48</f>
        <v>1.242999999999999</v>
      </c>
      <c r="O49" s="54"/>
      <c r="P49" s="54"/>
      <c r="Q49" s="54"/>
      <c r="S49" s="54"/>
    </row>
    <row r="50" spans="1:19" x14ac:dyDescent="0.3">
      <c r="A50" s="38" t="s">
        <v>84</v>
      </c>
      <c r="B50" s="38" t="s">
        <v>15</v>
      </c>
      <c r="C50" s="38" t="s">
        <v>658</v>
      </c>
      <c r="D50" s="51">
        <v>42768</v>
      </c>
      <c r="E50" s="52"/>
      <c r="F50" s="38" t="s">
        <v>85</v>
      </c>
      <c r="G50" s="38" t="s">
        <v>86</v>
      </c>
      <c r="H50" s="38">
        <v>1644133.753</v>
      </c>
      <c r="I50" s="38">
        <v>5297632.59</v>
      </c>
      <c r="J50" s="38">
        <v>13.021000000000001</v>
      </c>
      <c r="K50" s="56" t="s">
        <v>13</v>
      </c>
      <c r="L50" s="38">
        <f t="shared" si="2"/>
        <v>0.8230000000000004</v>
      </c>
      <c r="M50" s="54">
        <v>1.7849999999999999</v>
      </c>
      <c r="N50" s="54">
        <f>SUM(L50:M50)-O$48-P$48</f>
        <v>1.1280000000000006</v>
      </c>
      <c r="O50" s="54"/>
      <c r="P50" s="54"/>
      <c r="Q50" s="54"/>
      <c r="S50" s="54"/>
    </row>
    <row r="51" spans="1:19" x14ac:dyDescent="0.3">
      <c r="A51" s="38" t="s">
        <v>87</v>
      </c>
      <c r="B51" s="38" t="s">
        <v>15</v>
      </c>
      <c r="C51" s="38" t="s">
        <v>658</v>
      </c>
      <c r="D51" s="51">
        <v>42768</v>
      </c>
      <c r="E51" s="52"/>
      <c r="F51" s="38" t="s">
        <v>88</v>
      </c>
      <c r="G51" s="38" t="s">
        <v>89</v>
      </c>
      <c r="H51" s="38">
        <v>1644131.4939999999</v>
      </c>
      <c r="I51" s="38">
        <v>5297629.1109999996</v>
      </c>
      <c r="J51" s="38">
        <v>13.391</v>
      </c>
      <c r="K51" s="56" t="s">
        <v>13</v>
      </c>
      <c r="L51" s="38">
        <f t="shared" si="2"/>
        <v>1.1929999999999996</v>
      </c>
      <c r="M51" s="54">
        <v>1.7849999999999999</v>
      </c>
      <c r="N51" s="54">
        <f>SUM(L51:M51)-O$48-P$48</f>
        <v>1.4979999999999998</v>
      </c>
      <c r="O51" s="54"/>
      <c r="P51" s="54"/>
      <c r="Q51" s="54"/>
      <c r="S51" s="54"/>
    </row>
    <row r="52" spans="1:19" x14ac:dyDescent="0.3">
      <c r="A52" s="38" t="s">
        <v>90</v>
      </c>
      <c r="B52" s="38" t="s">
        <v>15</v>
      </c>
      <c r="C52" s="38" t="s">
        <v>658</v>
      </c>
      <c r="D52" s="51">
        <v>42768</v>
      </c>
      <c r="E52" s="52"/>
      <c r="F52" s="38" t="s">
        <v>91</v>
      </c>
      <c r="G52" s="38" t="s">
        <v>92</v>
      </c>
      <c r="H52" s="38">
        <v>1644131.649</v>
      </c>
      <c r="I52" s="38">
        <v>5297629.3370000003</v>
      </c>
      <c r="J52" s="38">
        <v>13.361000000000001</v>
      </c>
      <c r="K52" s="56" t="s">
        <v>13</v>
      </c>
      <c r="L52" s="38">
        <f t="shared" si="2"/>
        <v>1.1630000000000003</v>
      </c>
      <c r="M52" s="54">
        <v>1.7849999999999999</v>
      </c>
      <c r="N52" s="54">
        <f>SUM(L52:M52)-O$48-P$48</f>
        <v>1.4680000000000004</v>
      </c>
      <c r="O52" s="54"/>
      <c r="P52" s="54"/>
      <c r="Q52" s="54"/>
      <c r="S52" s="54"/>
    </row>
    <row r="53" spans="1:19" x14ac:dyDescent="0.3">
      <c r="A53" s="38" t="s">
        <v>93</v>
      </c>
      <c r="B53" s="38" t="s">
        <v>15</v>
      </c>
      <c r="C53" s="38" t="s">
        <v>658</v>
      </c>
      <c r="D53" s="51">
        <v>42768</v>
      </c>
      <c r="E53" s="52"/>
      <c r="F53" s="38" t="s">
        <v>94</v>
      </c>
      <c r="G53" s="38" t="s">
        <v>95</v>
      </c>
      <c r="H53" s="38">
        <v>1644129.223</v>
      </c>
      <c r="I53" s="38">
        <v>5297628.6960000005</v>
      </c>
      <c r="J53" s="38">
        <v>13.164999999999999</v>
      </c>
      <c r="K53" s="56" t="s">
        <v>13</v>
      </c>
      <c r="L53" s="38">
        <f t="shared" si="2"/>
        <v>0.96699999999999875</v>
      </c>
      <c r="M53" s="54">
        <v>1.7849999999999999</v>
      </c>
      <c r="N53" s="54">
        <f>SUM(L53:M53)-O$48-P$48</f>
        <v>1.2719999999999989</v>
      </c>
      <c r="O53" s="54"/>
      <c r="P53" s="54"/>
      <c r="Q53" s="54"/>
      <c r="S53" s="54"/>
    </row>
    <row r="54" spans="1:19" x14ac:dyDescent="0.3">
      <c r="A54" s="38" t="s">
        <v>96</v>
      </c>
      <c r="B54" s="38" t="s">
        <v>15</v>
      </c>
      <c r="C54" s="38" t="s">
        <v>658</v>
      </c>
      <c r="D54" s="51">
        <v>42768</v>
      </c>
      <c r="E54" s="52"/>
      <c r="F54" s="38" t="s">
        <v>97</v>
      </c>
      <c r="G54" s="38" t="s">
        <v>98</v>
      </c>
      <c r="H54" s="38">
        <v>1644128.9809999999</v>
      </c>
      <c r="I54" s="38">
        <v>5297627.8760000002</v>
      </c>
      <c r="J54" s="38">
        <v>13.361000000000001</v>
      </c>
      <c r="K54" s="56" t="s">
        <v>13</v>
      </c>
      <c r="L54" s="38">
        <f t="shared" si="2"/>
        <v>1.1630000000000003</v>
      </c>
      <c r="M54" s="54">
        <v>1.7849999999999999</v>
      </c>
      <c r="N54" s="54">
        <f>SUM(L54:M54)-O$48-P$48</f>
        <v>1.4680000000000004</v>
      </c>
      <c r="O54" s="54"/>
      <c r="P54" s="54"/>
      <c r="Q54" s="54"/>
      <c r="S54" s="54"/>
    </row>
    <row r="55" spans="1:19" x14ac:dyDescent="0.3">
      <c r="A55" s="38" t="s">
        <v>99</v>
      </c>
      <c r="B55" s="38" t="s">
        <v>15</v>
      </c>
      <c r="C55" s="38" t="s">
        <v>658</v>
      </c>
      <c r="D55" s="51">
        <v>42768</v>
      </c>
      <c r="E55" s="52"/>
      <c r="F55" s="38" t="s">
        <v>100</v>
      </c>
      <c r="G55" s="38" t="s">
        <v>101</v>
      </c>
      <c r="H55" s="38">
        <v>1644127.91</v>
      </c>
      <c r="I55" s="38">
        <v>5297633.2280000001</v>
      </c>
      <c r="J55" s="38">
        <v>13.183999999999999</v>
      </c>
      <c r="K55" s="56" t="s">
        <v>13</v>
      </c>
      <c r="L55" s="38">
        <f t="shared" si="2"/>
        <v>0.98599999999999888</v>
      </c>
      <c r="M55" s="54">
        <v>1.7849999999999999</v>
      </c>
      <c r="N55" s="54">
        <f>SUM(L55:M55)-O$48-P$48</f>
        <v>1.290999999999999</v>
      </c>
      <c r="O55" s="54"/>
      <c r="P55" s="54"/>
      <c r="Q55" s="54"/>
      <c r="S55" s="54"/>
    </row>
    <row r="56" spans="1:19" x14ac:dyDescent="0.3">
      <c r="A56" s="38" t="s">
        <v>102</v>
      </c>
      <c r="B56" s="38" t="s">
        <v>15</v>
      </c>
      <c r="C56" s="38" t="s">
        <v>658</v>
      </c>
      <c r="D56" s="51">
        <v>42768</v>
      </c>
      <c r="E56" s="52"/>
      <c r="F56" s="38" t="s">
        <v>103</v>
      </c>
      <c r="G56" s="38" t="s">
        <v>104</v>
      </c>
      <c r="H56" s="38">
        <v>1644128.588</v>
      </c>
      <c r="I56" s="38">
        <v>5297634.2929999996</v>
      </c>
      <c r="J56" s="38">
        <v>13.291</v>
      </c>
      <c r="K56" s="56" t="s">
        <v>13</v>
      </c>
      <c r="L56" s="38">
        <f t="shared" si="2"/>
        <v>1.093</v>
      </c>
      <c r="M56" s="54">
        <v>1.7849999999999999</v>
      </c>
      <c r="N56" s="54">
        <f>SUM(L56:M56)-O$48-P$48</f>
        <v>1.3980000000000001</v>
      </c>
      <c r="O56" s="54"/>
      <c r="P56" s="54"/>
      <c r="Q56" s="54"/>
      <c r="S56" s="54"/>
    </row>
    <row r="57" spans="1:19" x14ac:dyDescent="0.3">
      <c r="A57" s="38" t="s">
        <v>105</v>
      </c>
      <c r="B57" s="38" t="s">
        <v>15</v>
      </c>
      <c r="C57" s="38" t="s">
        <v>658</v>
      </c>
      <c r="D57" s="51">
        <v>42768</v>
      </c>
      <c r="E57" s="52"/>
      <c r="F57" s="38" t="s">
        <v>106</v>
      </c>
      <c r="G57" s="38" t="s">
        <v>107</v>
      </c>
      <c r="H57" s="38">
        <v>1644129.5560000001</v>
      </c>
      <c r="I57" s="38">
        <v>5297635.3499999996</v>
      </c>
      <c r="J57" s="38">
        <v>13.247</v>
      </c>
      <c r="K57" s="56" t="s">
        <v>13</v>
      </c>
      <c r="L57" s="38">
        <f t="shared" si="2"/>
        <v>1.0489999999999995</v>
      </c>
      <c r="M57" s="54">
        <v>1.7849999999999999</v>
      </c>
      <c r="N57" s="54">
        <f>SUM(L57:M57)-O$48-P$48</f>
        <v>1.3539999999999996</v>
      </c>
      <c r="O57" s="54"/>
      <c r="P57" s="54"/>
      <c r="Q57" s="54"/>
      <c r="S57" s="54"/>
    </row>
    <row r="58" spans="1:19" x14ac:dyDescent="0.3">
      <c r="A58" s="38" t="s">
        <v>108</v>
      </c>
      <c r="B58" s="38" t="s">
        <v>15</v>
      </c>
      <c r="C58" s="38" t="s">
        <v>658</v>
      </c>
      <c r="D58" s="51">
        <v>42768</v>
      </c>
      <c r="E58" s="52"/>
      <c r="F58" s="38" t="s">
        <v>109</v>
      </c>
      <c r="G58" s="38" t="s">
        <v>110</v>
      </c>
      <c r="H58" s="38">
        <v>1644127.578</v>
      </c>
      <c r="I58" s="38">
        <v>5297637.1310000001</v>
      </c>
      <c r="J58" s="38">
        <v>13.250999999999999</v>
      </c>
      <c r="K58" s="56" t="s">
        <v>13</v>
      </c>
      <c r="L58" s="38">
        <f t="shared" si="2"/>
        <v>1.052999999999999</v>
      </c>
      <c r="M58" s="54">
        <v>1.7849999999999999</v>
      </c>
      <c r="N58" s="54">
        <f>SUM(L58:M58)-O$48-P$48</f>
        <v>1.3579999999999992</v>
      </c>
      <c r="O58" s="54"/>
      <c r="P58" s="54"/>
      <c r="Q58" s="54"/>
      <c r="S58" s="54"/>
    </row>
    <row r="59" spans="1:19" x14ac:dyDescent="0.3">
      <c r="A59" s="38" t="s">
        <v>111</v>
      </c>
      <c r="B59" s="38" t="s">
        <v>15</v>
      </c>
      <c r="C59" s="38" t="s">
        <v>658</v>
      </c>
      <c r="D59" s="51">
        <v>42768</v>
      </c>
      <c r="E59" s="52"/>
      <c r="F59" s="38" t="s">
        <v>112</v>
      </c>
      <c r="G59" s="38" t="s">
        <v>113</v>
      </c>
      <c r="H59" s="38">
        <v>1644128.6629999999</v>
      </c>
      <c r="I59" s="38">
        <v>5297637.5420000004</v>
      </c>
      <c r="J59" s="38">
        <v>13.304</v>
      </c>
      <c r="K59" s="56" t="s">
        <v>13</v>
      </c>
      <c r="L59" s="38">
        <f t="shared" si="2"/>
        <v>1.1059999999999999</v>
      </c>
      <c r="M59" s="54">
        <v>1.7849999999999999</v>
      </c>
      <c r="N59" s="54">
        <f>SUM(L59:M59)-O$48-P$48</f>
        <v>1.411</v>
      </c>
      <c r="O59" s="54"/>
      <c r="P59" s="54"/>
      <c r="Q59" s="54"/>
      <c r="S59" s="54"/>
    </row>
    <row r="60" spans="1:19" x14ac:dyDescent="0.3">
      <c r="A60" s="38" t="s">
        <v>114</v>
      </c>
      <c r="B60" s="38" t="s">
        <v>15</v>
      </c>
      <c r="C60" s="38" t="s">
        <v>658</v>
      </c>
      <c r="D60" s="51">
        <v>42768</v>
      </c>
      <c r="E60" s="52"/>
      <c r="F60" s="38" t="s">
        <v>115</v>
      </c>
      <c r="G60" s="38" t="s">
        <v>116</v>
      </c>
      <c r="H60" s="38">
        <v>1644129.453</v>
      </c>
      <c r="I60" s="38">
        <v>5297637.5939999996</v>
      </c>
      <c r="J60" s="38">
        <v>13.098000000000001</v>
      </c>
      <c r="K60" s="56" t="s">
        <v>13</v>
      </c>
      <c r="L60" s="38">
        <f t="shared" si="2"/>
        <v>0.90000000000000036</v>
      </c>
      <c r="M60" s="54">
        <v>1.7849999999999999</v>
      </c>
      <c r="N60" s="54">
        <f>SUM(L60:M60)-O$48-P$48</f>
        <v>1.2050000000000005</v>
      </c>
      <c r="O60" s="54"/>
      <c r="P60" s="54"/>
      <c r="Q60" s="54"/>
      <c r="S60" s="54"/>
    </row>
    <row r="61" spans="1:19" x14ac:dyDescent="0.3">
      <c r="A61" s="38" t="s">
        <v>117</v>
      </c>
      <c r="B61" s="38" t="s">
        <v>15</v>
      </c>
      <c r="C61" s="38" t="s">
        <v>658</v>
      </c>
      <c r="D61" s="51">
        <v>42768</v>
      </c>
      <c r="E61" s="52"/>
      <c r="F61" s="38" t="s">
        <v>118</v>
      </c>
      <c r="G61" s="38" t="s">
        <v>119</v>
      </c>
      <c r="H61" s="38">
        <v>1644124.77</v>
      </c>
      <c r="I61" s="38">
        <v>5297640.4970000004</v>
      </c>
      <c r="J61" s="38">
        <v>12.89</v>
      </c>
      <c r="K61" s="56" t="s">
        <v>13</v>
      </c>
      <c r="L61" s="38">
        <f t="shared" si="2"/>
        <v>0.69200000000000017</v>
      </c>
      <c r="M61" s="54">
        <v>1.7849999999999999</v>
      </c>
      <c r="N61" s="54">
        <f>SUM(L61:M61)-O$48-P$48</f>
        <v>0.99700000000000022</v>
      </c>
      <c r="O61" s="54"/>
      <c r="P61" s="54"/>
      <c r="Q61" s="54"/>
      <c r="S61" s="54"/>
    </row>
    <row r="62" spans="1:19" x14ac:dyDescent="0.3">
      <c r="A62" s="38" t="s">
        <v>120</v>
      </c>
      <c r="B62" s="38" t="s">
        <v>15</v>
      </c>
      <c r="C62" s="38" t="s">
        <v>658</v>
      </c>
      <c r="D62" s="51">
        <v>42768</v>
      </c>
      <c r="E62" s="52"/>
      <c r="F62" s="38" t="s">
        <v>121</v>
      </c>
      <c r="G62" s="38" t="s">
        <v>122</v>
      </c>
      <c r="H62" s="38">
        <v>1644122.7409999999</v>
      </c>
      <c r="I62" s="38">
        <v>5297640.4409999996</v>
      </c>
      <c r="J62" s="38">
        <v>12.897</v>
      </c>
      <c r="K62" s="56" t="s">
        <v>13</v>
      </c>
      <c r="L62" s="38">
        <f t="shared" si="2"/>
        <v>0.69899999999999984</v>
      </c>
      <c r="M62" s="54">
        <v>1.7849999999999999</v>
      </c>
      <c r="N62" s="54">
        <f>SUM(L62:M62)-O$48-P$48</f>
        <v>1.004</v>
      </c>
      <c r="O62" s="54"/>
      <c r="P62" s="54"/>
      <c r="Q62" s="54"/>
      <c r="S62" s="54"/>
    </row>
    <row r="63" spans="1:19" x14ac:dyDescent="0.3">
      <c r="A63" s="38" t="s">
        <v>123</v>
      </c>
      <c r="B63" s="38" t="s">
        <v>15</v>
      </c>
      <c r="C63" s="38" t="s">
        <v>658</v>
      </c>
      <c r="D63" s="51">
        <v>42768</v>
      </c>
      <c r="E63" s="52"/>
      <c r="F63" s="38" t="s">
        <v>124</v>
      </c>
      <c r="G63" s="38" t="s">
        <v>125</v>
      </c>
      <c r="H63" s="38">
        <v>1644119.868</v>
      </c>
      <c r="I63" s="38">
        <v>5297644.3830000004</v>
      </c>
      <c r="J63" s="38">
        <v>12.952</v>
      </c>
      <c r="K63" s="56" t="s">
        <v>13</v>
      </c>
      <c r="L63" s="38">
        <f t="shared" si="2"/>
        <v>0.75399999999999956</v>
      </c>
      <c r="M63" s="54">
        <v>1.7849999999999999</v>
      </c>
      <c r="N63" s="54">
        <f>SUM(L63:M63)-O$48-P$48</f>
        <v>1.0589999999999997</v>
      </c>
      <c r="O63" s="54"/>
      <c r="P63" s="54"/>
      <c r="Q63" s="54"/>
      <c r="S63" s="54"/>
    </row>
    <row r="64" spans="1:19" x14ac:dyDescent="0.3">
      <c r="A64" s="38" t="s">
        <v>126</v>
      </c>
      <c r="B64" s="38" t="s">
        <v>15</v>
      </c>
      <c r="C64" s="38" t="s">
        <v>658</v>
      </c>
      <c r="D64" s="51">
        <v>42768</v>
      </c>
      <c r="E64" s="52"/>
      <c r="F64" s="38" t="s">
        <v>127</v>
      </c>
      <c r="G64" s="38" t="s">
        <v>128</v>
      </c>
      <c r="H64" s="38">
        <v>1644119.71</v>
      </c>
      <c r="I64" s="38">
        <v>5297644.2290000003</v>
      </c>
      <c r="J64" s="38">
        <v>12.907999999999999</v>
      </c>
      <c r="K64" s="56" t="s">
        <v>13</v>
      </c>
      <c r="L64" s="38">
        <f t="shared" si="2"/>
        <v>0.70999999999999908</v>
      </c>
      <c r="M64" s="54">
        <v>1.7849999999999999</v>
      </c>
      <c r="N64" s="54">
        <f>SUM(L64:M64)-O$48-P$48</f>
        <v>1.0149999999999992</v>
      </c>
      <c r="O64" s="54"/>
      <c r="P64" s="54"/>
      <c r="Q64" s="54"/>
      <c r="S64" s="54"/>
    </row>
    <row r="65" spans="1:19" x14ac:dyDescent="0.3">
      <c r="A65" s="38" t="s">
        <v>129</v>
      </c>
      <c r="B65" s="38" t="s">
        <v>15</v>
      </c>
      <c r="C65" s="38" t="s">
        <v>658</v>
      </c>
      <c r="D65" s="51">
        <v>42768</v>
      </c>
      <c r="E65" s="52"/>
      <c r="F65" s="38" t="s">
        <v>130</v>
      </c>
      <c r="G65" s="38" t="s">
        <v>131</v>
      </c>
      <c r="H65" s="38">
        <v>1644120.1850000001</v>
      </c>
      <c r="I65" s="38">
        <v>5297644.8250000002</v>
      </c>
      <c r="J65" s="38">
        <v>12.962</v>
      </c>
      <c r="K65" s="56" t="s">
        <v>13</v>
      </c>
      <c r="L65" s="38">
        <f t="shared" si="2"/>
        <v>0.76399999999999935</v>
      </c>
      <c r="M65" s="54">
        <v>1.7849999999999999</v>
      </c>
      <c r="N65" s="54">
        <f>SUM(L65:M65)-O$48-P$48</f>
        <v>1.0689999999999995</v>
      </c>
      <c r="O65" s="54"/>
      <c r="P65" s="54"/>
      <c r="Q65" s="54"/>
      <c r="S65" s="54"/>
    </row>
    <row r="66" spans="1:19" x14ac:dyDescent="0.3">
      <c r="A66" s="38" t="s">
        <v>132</v>
      </c>
      <c r="B66" s="38" t="s">
        <v>15</v>
      </c>
      <c r="C66" s="38" t="s">
        <v>658</v>
      </c>
      <c r="D66" s="51">
        <v>42768</v>
      </c>
      <c r="E66" s="52"/>
      <c r="F66" s="38" t="s">
        <v>133</v>
      </c>
      <c r="G66" s="38" t="s">
        <v>134</v>
      </c>
      <c r="H66" s="38">
        <v>1644120.341</v>
      </c>
      <c r="I66" s="38">
        <v>5297647.0530000003</v>
      </c>
      <c r="J66" s="38">
        <v>12.866</v>
      </c>
      <c r="K66" s="56" t="s">
        <v>13</v>
      </c>
      <c r="L66" s="38">
        <f t="shared" si="2"/>
        <v>0.66799999999999926</v>
      </c>
      <c r="M66" s="54">
        <v>1.7849999999999999</v>
      </c>
      <c r="N66" s="54">
        <f>SUM(L66:M66)-O$48-P$48</f>
        <v>0.97299999999999931</v>
      </c>
      <c r="O66" s="54"/>
      <c r="P66" s="54"/>
      <c r="Q66" s="54"/>
      <c r="S66" s="54"/>
    </row>
    <row r="67" spans="1:19" x14ac:dyDescent="0.3">
      <c r="A67" s="38" t="s">
        <v>135</v>
      </c>
      <c r="B67" s="38" t="s">
        <v>15</v>
      </c>
      <c r="C67" s="38" t="s">
        <v>658</v>
      </c>
      <c r="D67" s="51">
        <v>42768</v>
      </c>
      <c r="E67" s="52"/>
      <c r="F67" s="38" t="s">
        <v>136</v>
      </c>
      <c r="G67" s="38" t="s">
        <v>137</v>
      </c>
      <c r="H67" s="38">
        <v>1644121.3119999999</v>
      </c>
      <c r="I67" s="38">
        <v>5297648.2070000004</v>
      </c>
      <c r="J67" s="38">
        <v>12.85</v>
      </c>
      <c r="K67" s="56" t="s">
        <v>13</v>
      </c>
      <c r="L67" s="38">
        <f t="shared" si="2"/>
        <v>0.65199999999999925</v>
      </c>
      <c r="M67" s="54">
        <v>1.7849999999999999</v>
      </c>
      <c r="N67" s="54">
        <f>SUM(L67:M67)-O$48-P$48</f>
        <v>0.9569999999999993</v>
      </c>
      <c r="O67" s="54"/>
      <c r="P67" s="54"/>
      <c r="Q67" s="54"/>
      <c r="S67" s="54"/>
    </row>
    <row r="68" spans="1:19" x14ac:dyDescent="0.3">
      <c r="A68" s="38" t="s">
        <v>138</v>
      </c>
      <c r="B68" s="38" t="s">
        <v>15</v>
      </c>
      <c r="C68" s="38" t="s">
        <v>658</v>
      </c>
      <c r="D68" s="51">
        <v>42768</v>
      </c>
      <c r="E68" s="52">
        <v>0.76597222222222217</v>
      </c>
      <c r="F68" s="38" t="s">
        <v>139</v>
      </c>
      <c r="G68" s="38" t="s">
        <v>140</v>
      </c>
      <c r="H68" s="38">
        <v>1644126.8940000001</v>
      </c>
      <c r="I68" s="38">
        <v>5297741.659</v>
      </c>
      <c r="J68" s="38">
        <v>12.356999999999999</v>
      </c>
      <c r="N68" s="54"/>
      <c r="O68" s="54"/>
      <c r="P68" s="54"/>
      <c r="Q68" s="54"/>
      <c r="S68" s="54"/>
    </row>
    <row r="69" spans="1:19" x14ac:dyDescent="0.3">
      <c r="A69" s="38" t="s">
        <v>141</v>
      </c>
      <c r="B69" s="38" t="s">
        <v>15</v>
      </c>
      <c r="C69" s="38" t="s">
        <v>658</v>
      </c>
      <c r="D69" s="51">
        <v>42768</v>
      </c>
      <c r="E69" s="52"/>
      <c r="F69" s="38" t="s">
        <v>142</v>
      </c>
      <c r="G69" s="38" t="s">
        <v>143</v>
      </c>
      <c r="H69" s="38">
        <v>1644126.608</v>
      </c>
      <c r="I69" s="38">
        <v>5297743.4749999996</v>
      </c>
      <c r="J69" s="38">
        <v>12.906000000000001</v>
      </c>
      <c r="K69" s="38" t="s">
        <v>10</v>
      </c>
      <c r="L69" s="38">
        <f>J69-J$68</f>
        <v>0.54900000000000126</v>
      </c>
      <c r="M69" s="38">
        <v>1.895</v>
      </c>
      <c r="N69" s="54">
        <f>SUM(L69:M69)-O$69-P$69</f>
        <v>1.0340000000000011</v>
      </c>
      <c r="O69" s="54">
        <v>1.1000000000000001</v>
      </c>
      <c r="P69" s="54">
        <v>0.31</v>
      </c>
      <c r="Q69" s="54">
        <f>AVERAGE(N69:N87)</f>
        <v>1.1745263157894741</v>
      </c>
      <c r="R69" s="54">
        <f>STDEVA(N69:N87)</f>
        <v>0.15670473594951356</v>
      </c>
      <c r="S69" s="54"/>
    </row>
    <row r="70" spans="1:19" x14ac:dyDescent="0.3">
      <c r="A70" s="38" t="s">
        <v>144</v>
      </c>
      <c r="B70" s="38" t="s">
        <v>15</v>
      </c>
      <c r="C70" s="38" t="s">
        <v>658</v>
      </c>
      <c r="D70" s="51">
        <v>42768</v>
      </c>
      <c r="E70" s="52"/>
      <c r="F70" s="38" t="s">
        <v>145</v>
      </c>
      <c r="G70" s="38" t="s">
        <v>146</v>
      </c>
      <c r="H70" s="38">
        <v>1644127.6310000001</v>
      </c>
      <c r="I70" s="38">
        <v>5297743.7970000003</v>
      </c>
      <c r="J70" s="38">
        <v>12.936999999999999</v>
      </c>
      <c r="K70" s="38" t="s">
        <v>10</v>
      </c>
      <c r="L70" s="38">
        <f t="shared" ref="L70:L87" si="3">J70-J$68</f>
        <v>0.58000000000000007</v>
      </c>
      <c r="M70" s="38">
        <v>1.895</v>
      </c>
      <c r="N70" s="54">
        <f>SUM(L70:M70)-O$69-P$69</f>
        <v>1.0649999999999999</v>
      </c>
      <c r="O70" s="54"/>
      <c r="P70" s="54"/>
      <c r="Q70" s="54"/>
      <c r="S70" s="54"/>
    </row>
    <row r="71" spans="1:19" x14ac:dyDescent="0.3">
      <c r="A71" s="38" t="s">
        <v>147</v>
      </c>
      <c r="B71" s="38" t="s">
        <v>15</v>
      </c>
      <c r="C71" s="38" t="s">
        <v>658</v>
      </c>
      <c r="D71" s="51">
        <v>42768</v>
      </c>
      <c r="E71" s="52"/>
      <c r="F71" s="38" t="s">
        <v>148</v>
      </c>
      <c r="G71" s="38" t="s">
        <v>149</v>
      </c>
      <c r="H71" s="38">
        <v>1644127.976</v>
      </c>
      <c r="I71" s="38">
        <v>5297744.0209999997</v>
      </c>
      <c r="J71" s="38">
        <v>12.912000000000001</v>
      </c>
      <c r="K71" s="38" t="s">
        <v>10</v>
      </c>
      <c r="L71" s="38">
        <f t="shared" si="3"/>
        <v>0.55500000000000149</v>
      </c>
      <c r="M71" s="38">
        <v>1.895</v>
      </c>
      <c r="N71" s="54">
        <f>SUM(L71:M71)-O$69-P$69</f>
        <v>1.0400000000000014</v>
      </c>
      <c r="O71" s="54"/>
      <c r="P71" s="54"/>
      <c r="Q71" s="54"/>
      <c r="S71" s="54"/>
    </row>
    <row r="72" spans="1:19" x14ac:dyDescent="0.3">
      <c r="A72" s="38" t="s">
        <v>150</v>
      </c>
      <c r="B72" s="38" t="s">
        <v>15</v>
      </c>
      <c r="C72" s="38" t="s">
        <v>658</v>
      </c>
      <c r="D72" s="51">
        <v>42768</v>
      </c>
      <c r="E72" s="52"/>
      <c r="F72" s="38" t="s">
        <v>151</v>
      </c>
      <c r="G72" s="38" t="s">
        <v>152</v>
      </c>
      <c r="H72" s="38">
        <v>1644128.1189999999</v>
      </c>
      <c r="I72" s="38">
        <v>5297744.2929999996</v>
      </c>
      <c r="J72" s="38">
        <v>12.849</v>
      </c>
      <c r="K72" s="38" t="s">
        <v>10</v>
      </c>
      <c r="L72" s="38">
        <f t="shared" si="3"/>
        <v>0.49200000000000088</v>
      </c>
      <c r="M72" s="38">
        <v>1.895</v>
      </c>
      <c r="N72" s="54">
        <f>SUM(L72:M72)-O$69-P$69</f>
        <v>0.97700000000000076</v>
      </c>
      <c r="O72" s="54"/>
      <c r="P72" s="54"/>
      <c r="Q72" s="54"/>
      <c r="S72" s="54"/>
    </row>
    <row r="73" spans="1:19" x14ac:dyDescent="0.3">
      <c r="A73" s="38" t="s">
        <v>153</v>
      </c>
      <c r="B73" s="38" t="s">
        <v>15</v>
      </c>
      <c r="C73" s="38" t="s">
        <v>658</v>
      </c>
      <c r="D73" s="51">
        <v>42768</v>
      </c>
      <c r="E73" s="52"/>
      <c r="F73" s="38" t="s">
        <v>154</v>
      </c>
      <c r="G73" s="38" t="s">
        <v>155</v>
      </c>
      <c r="H73" s="38">
        <v>1644128.4580000001</v>
      </c>
      <c r="I73" s="38">
        <v>5297744.4780000001</v>
      </c>
      <c r="J73" s="38">
        <v>12.941000000000001</v>
      </c>
      <c r="K73" s="38" t="s">
        <v>10</v>
      </c>
      <c r="L73" s="38">
        <f t="shared" si="3"/>
        <v>0.58400000000000141</v>
      </c>
      <c r="M73" s="38">
        <v>1.895</v>
      </c>
      <c r="N73" s="54">
        <f>SUM(L73:M73)-O$69-P$69</f>
        <v>1.0690000000000013</v>
      </c>
      <c r="O73" s="54"/>
      <c r="P73" s="54"/>
      <c r="Q73" s="54"/>
      <c r="S73" s="54"/>
    </row>
    <row r="74" spans="1:19" x14ac:dyDescent="0.3">
      <c r="A74" s="38" t="s">
        <v>156</v>
      </c>
      <c r="B74" s="38" t="s">
        <v>15</v>
      </c>
      <c r="C74" s="38" t="s">
        <v>658</v>
      </c>
      <c r="D74" s="51">
        <v>42768</v>
      </c>
      <c r="E74" s="52"/>
      <c r="F74" s="38" t="s">
        <v>157</v>
      </c>
      <c r="G74" s="38" t="s">
        <v>158</v>
      </c>
      <c r="H74" s="38">
        <v>1644125.0430000001</v>
      </c>
      <c r="I74" s="38">
        <v>5297740.08</v>
      </c>
      <c r="J74" s="38">
        <v>12.823</v>
      </c>
      <c r="K74" s="38" t="s">
        <v>10</v>
      </c>
      <c r="L74" s="38">
        <f t="shared" si="3"/>
        <v>0.46600000000000108</v>
      </c>
      <c r="M74" s="38">
        <v>1.895</v>
      </c>
      <c r="N74" s="54">
        <f>SUM(L74:M74)-O$69-P$69</f>
        <v>0.95100000000000096</v>
      </c>
      <c r="O74" s="54"/>
      <c r="P74" s="54"/>
      <c r="Q74" s="54"/>
      <c r="S74" s="54"/>
    </row>
    <row r="75" spans="1:19" x14ac:dyDescent="0.3">
      <c r="A75" s="38" t="s">
        <v>159</v>
      </c>
      <c r="B75" s="38" t="s">
        <v>15</v>
      </c>
      <c r="C75" s="38" t="s">
        <v>658</v>
      </c>
      <c r="D75" s="51">
        <v>42768</v>
      </c>
      <c r="E75" s="52"/>
      <c r="F75" s="38" t="s">
        <v>160</v>
      </c>
      <c r="G75" s="38" t="s">
        <v>161</v>
      </c>
      <c r="H75" s="38">
        <v>1644123.068</v>
      </c>
      <c r="I75" s="38">
        <v>5297741.858</v>
      </c>
      <c r="J75" s="38">
        <v>13.01</v>
      </c>
      <c r="K75" s="38" t="s">
        <v>10</v>
      </c>
      <c r="L75" s="38">
        <f t="shared" si="3"/>
        <v>0.65300000000000047</v>
      </c>
      <c r="M75" s="38">
        <v>1.895</v>
      </c>
      <c r="N75" s="54">
        <f>SUM(L75:M75)-O$69-P$69</f>
        <v>1.1380000000000003</v>
      </c>
      <c r="O75" s="54"/>
      <c r="P75" s="54"/>
      <c r="Q75" s="54"/>
      <c r="S75" s="54"/>
    </row>
    <row r="76" spans="1:19" x14ac:dyDescent="0.3">
      <c r="A76" s="38" t="s">
        <v>162</v>
      </c>
      <c r="B76" s="38" t="s">
        <v>15</v>
      </c>
      <c r="C76" s="38" t="s">
        <v>658</v>
      </c>
      <c r="D76" s="51">
        <v>42768</v>
      </c>
      <c r="E76" s="52"/>
      <c r="F76" s="38" t="s">
        <v>163</v>
      </c>
      <c r="G76" s="38" t="s">
        <v>164</v>
      </c>
      <c r="H76" s="38">
        <v>1644123.4129999999</v>
      </c>
      <c r="I76" s="38">
        <v>5297742.2439999999</v>
      </c>
      <c r="J76" s="38">
        <v>13.114000000000001</v>
      </c>
      <c r="K76" s="38" t="s">
        <v>10</v>
      </c>
      <c r="L76" s="38">
        <f t="shared" si="3"/>
        <v>0.75700000000000145</v>
      </c>
      <c r="M76" s="38">
        <v>1.895</v>
      </c>
      <c r="N76" s="54">
        <f>SUM(L76:M76)-O$69-P$69</f>
        <v>1.2420000000000013</v>
      </c>
      <c r="O76" s="54"/>
      <c r="P76" s="54"/>
      <c r="Q76" s="54"/>
      <c r="S76" s="54"/>
    </row>
    <row r="77" spans="1:19" x14ac:dyDescent="0.3">
      <c r="A77" s="38" t="s">
        <v>165</v>
      </c>
      <c r="B77" s="38" t="s">
        <v>15</v>
      </c>
      <c r="C77" s="38" t="s">
        <v>658</v>
      </c>
      <c r="D77" s="51">
        <v>42768</v>
      </c>
      <c r="E77" s="52"/>
      <c r="F77" s="38" t="s">
        <v>166</v>
      </c>
      <c r="G77" s="38" t="s">
        <v>167</v>
      </c>
      <c r="H77" s="38">
        <v>1644123.8740000001</v>
      </c>
      <c r="I77" s="38">
        <v>5297742.8449999997</v>
      </c>
      <c r="J77" s="38">
        <v>12.972</v>
      </c>
      <c r="K77" s="38" t="s">
        <v>10</v>
      </c>
      <c r="L77" s="38">
        <f t="shared" si="3"/>
        <v>0.61500000000000021</v>
      </c>
      <c r="M77" s="38">
        <v>1.895</v>
      </c>
      <c r="N77" s="54">
        <f>SUM(L77:M77)-O$69-P$69</f>
        <v>1.1000000000000001</v>
      </c>
      <c r="O77" s="54"/>
      <c r="P77" s="54"/>
      <c r="Q77" s="54"/>
      <c r="S77" s="54"/>
    </row>
    <row r="78" spans="1:19" x14ac:dyDescent="0.3">
      <c r="A78" s="38" t="s">
        <v>168</v>
      </c>
      <c r="B78" s="38" t="s">
        <v>15</v>
      </c>
      <c r="C78" s="38" t="s">
        <v>658</v>
      </c>
      <c r="D78" s="51">
        <v>42768</v>
      </c>
      <c r="E78" s="52"/>
      <c r="F78" s="38" t="s">
        <v>169</v>
      </c>
      <c r="G78" s="38" t="s">
        <v>170</v>
      </c>
      <c r="H78" s="38">
        <v>1644125.3970000001</v>
      </c>
      <c r="I78" s="38">
        <v>5297745.2139999997</v>
      </c>
      <c r="J78" s="38">
        <v>12.99</v>
      </c>
      <c r="K78" s="38" t="s">
        <v>10</v>
      </c>
      <c r="L78" s="38">
        <f t="shared" si="3"/>
        <v>0.6330000000000009</v>
      </c>
      <c r="M78" s="38">
        <v>1.895</v>
      </c>
      <c r="N78" s="54">
        <f>SUM(L78:M78)-O$69-P$69</f>
        <v>1.1180000000000008</v>
      </c>
      <c r="O78" s="54"/>
      <c r="P78" s="54"/>
      <c r="Q78" s="54"/>
      <c r="S78" s="54"/>
    </row>
    <row r="79" spans="1:19" x14ac:dyDescent="0.3">
      <c r="A79" s="38" t="s">
        <v>171</v>
      </c>
      <c r="B79" s="38" t="s">
        <v>15</v>
      </c>
      <c r="C79" s="38" t="s">
        <v>658</v>
      </c>
      <c r="D79" s="51">
        <v>42768</v>
      </c>
      <c r="E79" s="52"/>
      <c r="F79" s="38" t="s">
        <v>172</v>
      </c>
      <c r="G79" s="38" t="s">
        <v>173</v>
      </c>
      <c r="H79" s="38">
        <v>1644125.781</v>
      </c>
      <c r="I79" s="38">
        <v>5297744.7379999999</v>
      </c>
      <c r="J79" s="38">
        <v>12.99</v>
      </c>
      <c r="K79" s="38" t="s">
        <v>10</v>
      </c>
      <c r="L79" s="38">
        <f t="shared" si="3"/>
        <v>0.6330000000000009</v>
      </c>
      <c r="M79" s="38">
        <v>1.895</v>
      </c>
      <c r="N79" s="54">
        <f>SUM(L79:M79)-O$69-P$69</f>
        <v>1.1180000000000008</v>
      </c>
      <c r="O79" s="54"/>
      <c r="P79" s="54"/>
      <c r="Q79" s="54"/>
      <c r="S79" s="54"/>
    </row>
    <row r="80" spans="1:19" x14ac:dyDescent="0.3">
      <c r="A80" s="38" t="s">
        <v>174</v>
      </c>
      <c r="B80" s="38" t="s">
        <v>15</v>
      </c>
      <c r="C80" s="38" t="s">
        <v>658</v>
      </c>
      <c r="D80" s="51">
        <v>42768</v>
      </c>
      <c r="E80" s="52"/>
      <c r="F80" s="38" t="s">
        <v>175</v>
      </c>
      <c r="G80" s="38" t="s">
        <v>176</v>
      </c>
      <c r="H80" s="38">
        <v>1644122.412</v>
      </c>
      <c r="I80" s="38">
        <v>5297749.9289999995</v>
      </c>
      <c r="J80" s="38">
        <v>13.169</v>
      </c>
      <c r="K80" s="38" t="s">
        <v>10</v>
      </c>
      <c r="L80" s="38">
        <f t="shared" si="3"/>
        <v>0.81200000000000117</v>
      </c>
      <c r="M80" s="38">
        <v>1.895</v>
      </c>
      <c r="N80" s="54">
        <f>SUM(L80:M80)-O$69-P$69</f>
        <v>1.297000000000001</v>
      </c>
      <c r="O80" s="54"/>
      <c r="P80" s="54"/>
      <c r="Q80" s="54"/>
      <c r="S80" s="54"/>
    </row>
    <row r="81" spans="1:20" x14ac:dyDescent="0.3">
      <c r="A81" s="38" t="s">
        <v>177</v>
      </c>
      <c r="B81" s="38" t="s">
        <v>15</v>
      </c>
      <c r="C81" s="38" t="s">
        <v>658</v>
      </c>
      <c r="D81" s="51">
        <v>42768</v>
      </c>
      <c r="E81" s="52"/>
      <c r="F81" s="38" t="s">
        <v>178</v>
      </c>
      <c r="G81" s="38" t="s">
        <v>179</v>
      </c>
      <c r="H81" s="38">
        <v>1644122.787</v>
      </c>
      <c r="I81" s="38">
        <v>5297750.3710000003</v>
      </c>
      <c r="J81" s="38">
        <v>13.013999999999999</v>
      </c>
      <c r="K81" s="38" t="s">
        <v>10</v>
      </c>
      <c r="L81" s="38">
        <f t="shared" si="3"/>
        <v>0.65700000000000003</v>
      </c>
      <c r="M81" s="38">
        <v>1.895</v>
      </c>
      <c r="N81" s="54">
        <f>SUM(L81:M81)-O$69-P$69</f>
        <v>1.1419999999999999</v>
      </c>
      <c r="O81" s="54"/>
      <c r="P81" s="54"/>
      <c r="Q81" s="54"/>
      <c r="S81" s="54"/>
    </row>
    <row r="82" spans="1:20" x14ac:dyDescent="0.3">
      <c r="A82" s="38" t="s">
        <v>180</v>
      </c>
      <c r="B82" s="38" t="s">
        <v>15</v>
      </c>
      <c r="C82" s="38" t="s">
        <v>658</v>
      </c>
      <c r="D82" s="51">
        <v>42768</v>
      </c>
      <c r="E82" s="52"/>
      <c r="F82" s="38" t="s">
        <v>181</v>
      </c>
      <c r="G82" s="38" t="s">
        <v>182</v>
      </c>
      <c r="H82" s="38">
        <v>1644123.9350000001</v>
      </c>
      <c r="I82" s="38">
        <v>5297757.1749999998</v>
      </c>
      <c r="J82" s="38">
        <v>13.444000000000001</v>
      </c>
      <c r="K82" s="38" t="s">
        <v>10</v>
      </c>
      <c r="L82" s="38">
        <f t="shared" si="3"/>
        <v>1.0870000000000015</v>
      </c>
      <c r="M82" s="38">
        <v>1.895</v>
      </c>
      <c r="N82" s="54">
        <f>SUM(L82:M82)-O$69-P$69</f>
        <v>1.5720000000000014</v>
      </c>
      <c r="O82" s="54"/>
      <c r="P82" s="54"/>
      <c r="Q82" s="54"/>
      <c r="S82" s="54"/>
    </row>
    <row r="83" spans="1:20" x14ac:dyDescent="0.3">
      <c r="A83" s="38" t="s">
        <v>183</v>
      </c>
      <c r="B83" s="38" t="s">
        <v>15</v>
      </c>
      <c r="C83" s="38" t="s">
        <v>658</v>
      </c>
      <c r="D83" s="51">
        <v>42768</v>
      </c>
      <c r="E83" s="52"/>
      <c r="F83" s="38" t="s">
        <v>184</v>
      </c>
      <c r="G83" s="38" t="s">
        <v>185</v>
      </c>
      <c r="H83" s="38">
        <v>1644127.4410000001</v>
      </c>
      <c r="I83" s="38">
        <v>5297758.7640000004</v>
      </c>
      <c r="J83" s="38">
        <v>13.260999999999999</v>
      </c>
      <c r="K83" s="38" t="s">
        <v>10</v>
      </c>
      <c r="L83" s="38">
        <f t="shared" si="3"/>
        <v>0.90399999999999991</v>
      </c>
      <c r="M83" s="38">
        <v>1.895</v>
      </c>
      <c r="N83" s="54">
        <f>SUM(L83:M83)-O$69-P$69</f>
        <v>1.3889999999999998</v>
      </c>
      <c r="O83" s="54"/>
      <c r="P83" s="54"/>
      <c r="Q83" s="54"/>
      <c r="S83" s="54"/>
    </row>
    <row r="84" spans="1:20" x14ac:dyDescent="0.3">
      <c r="A84" s="38" t="s">
        <v>186</v>
      </c>
      <c r="B84" s="38" t="s">
        <v>15</v>
      </c>
      <c r="C84" s="38" t="s">
        <v>658</v>
      </c>
      <c r="D84" s="51">
        <v>42768</v>
      </c>
      <c r="E84" s="52"/>
      <c r="F84" s="38" t="s">
        <v>187</v>
      </c>
      <c r="G84" s="38" t="s">
        <v>188</v>
      </c>
      <c r="H84" s="38">
        <v>1644127.4839999999</v>
      </c>
      <c r="I84" s="38">
        <v>5297760.2709999997</v>
      </c>
      <c r="J84" s="38">
        <v>13.257999999999999</v>
      </c>
      <c r="K84" s="38" t="s">
        <v>10</v>
      </c>
      <c r="L84" s="38">
        <f t="shared" si="3"/>
        <v>0.9009999999999998</v>
      </c>
      <c r="M84" s="38">
        <v>1.895</v>
      </c>
      <c r="N84" s="54">
        <f>SUM(L84:M84)-O$69-P$69</f>
        <v>1.3859999999999997</v>
      </c>
      <c r="O84" s="54"/>
      <c r="P84" s="54"/>
      <c r="Q84" s="54"/>
      <c r="S84" s="54"/>
    </row>
    <row r="85" spans="1:20" x14ac:dyDescent="0.3">
      <c r="A85" s="38" t="s">
        <v>189</v>
      </c>
      <c r="B85" s="38" t="s">
        <v>15</v>
      </c>
      <c r="C85" s="38" t="s">
        <v>658</v>
      </c>
      <c r="D85" s="51">
        <v>42768</v>
      </c>
      <c r="E85" s="52"/>
      <c r="F85" s="38" t="s">
        <v>190</v>
      </c>
      <c r="G85" s="38" t="s">
        <v>191</v>
      </c>
      <c r="H85" s="38">
        <v>1644127.8319999999</v>
      </c>
      <c r="I85" s="38">
        <v>5297761.193</v>
      </c>
      <c r="J85" s="38">
        <v>13.099</v>
      </c>
      <c r="K85" s="38" t="s">
        <v>10</v>
      </c>
      <c r="L85" s="38">
        <f t="shared" si="3"/>
        <v>0.74200000000000088</v>
      </c>
      <c r="M85" s="38">
        <v>1.895</v>
      </c>
      <c r="N85" s="54">
        <f>SUM(L85:M85)-O$69-P$69</f>
        <v>1.2270000000000008</v>
      </c>
      <c r="O85" s="54"/>
      <c r="P85" s="54"/>
      <c r="Q85" s="54"/>
      <c r="S85" s="54"/>
    </row>
    <row r="86" spans="1:20" x14ac:dyDescent="0.3">
      <c r="A86" s="38" t="s">
        <v>192</v>
      </c>
      <c r="B86" s="38" t="s">
        <v>15</v>
      </c>
      <c r="C86" s="38" t="s">
        <v>658</v>
      </c>
      <c r="D86" s="51">
        <v>42768</v>
      </c>
      <c r="E86" s="52"/>
      <c r="F86" s="38" t="s">
        <v>193</v>
      </c>
      <c r="G86" s="38" t="s">
        <v>194</v>
      </c>
      <c r="H86" s="38">
        <v>1644129.0530000001</v>
      </c>
      <c r="I86" s="38">
        <v>5297759.9539999999</v>
      </c>
      <c r="J86" s="38">
        <v>13.125</v>
      </c>
      <c r="K86" s="38" t="s">
        <v>10</v>
      </c>
      <c r="L86" s="38">
        <f t="shared" si="3"/>
        <v>0.76800000000000068</v>
      </c>
      <c r="M86" s="38">
        <v>1.895</v>
      </c>
      <c r="N86" s="54">
        <f>SUM(L86:M86)-O$69-P$69</f>
        <v>1.2530000000000006</v>
      </c>
      <c r="O86" s="54"/>
      <c r="P86" s="54"/>
      <c r="Q86" s="54"/>
      <c r="S86" s="54"/>
    </row>
    <row r="87" spans="1:20" x14ac:dyDescent="0.3">
      <c r="A87" s="38" t="s">
        <v>195</v>
      </c>
      <c r="B87" s="38" t="s">
        <v>15</v>
      </c>
      <c r="C87" s="38" t="s">
        <v>658</v>
      </c>
      <c r="D87" s="51">
        <v>42768</v>
      </c>
      <c r="E87" s="52"/>
      <c r="F87" s="38" t="s">
        <v>196</v>
      </c>
      <c r="G87" s="38" t="s">
        <v>197</v>
      </c>
      <c r="H87" s="38">
        <v>1644129.0260000001</v>
      </c>
      <c r="I87" s="38">
        <v>5297760.6129999999</v>
      </c>
      <c r="J87" s="38">
        <v>13.07</v>
      </c>
      <c r="K87" s="38" t="s">
        <v>10</v>
      </c>
      <c r="L87" s="38">
        <f t="shared" si="3"/>
        <v>0.71300000000000097</v>
      </c>
      <c r="M87" s="38">
        <v>1.895</v>
      </c>
      <c r="N87" s="54">
        <f>SUM(L87:M87)-O$69-P$69</f>
        <v>1.1980000000000008</v>
      </c>
      <c r="O87" s="54"/>
      <c r="P87" s="54"/>
      <c r="Q87" s="54"/>
      <c r="S87" s="54"/>
    </row>
    <row r="88" spans="1:20" x14ac:dyDescent="0.3">
      <c r="A88" s="38" t="s">
        <v>201</v>
      </c>
      <c r="B88" s="38" t="s">
        <v>202</v>
      </c>
      <c r="C88" s="38" t="s">
        <v>658</v>
      </c>
      <c r="D88" s="35">
        <v>42768</v>
      </c>
      <c r="E88" s="34">
        <v>1336</v>
      </c>
      <c r="F88" s="38" t="s">
        <v>203</v>
      </c>
      <c r="G88" s="38" t="s">
        <v>204</v>
      </c>
      <c r="H88" s="38">
        <v>5304028.9400000004</v>
      </c>
      <c r="I88" s="38">
        <v>1657677.2749999999</v>
      </c>
      <c r="J88" s="38">
        <v>11.645</v>
      </c>
      <c r="K88" s="38" t="s">
        <v>205</v>
      </c>
    </row>
    <row r="89" spans="1:20" x14ac:dyDescent="0.3">
      <c r="A89" s="38" t="s">
        <v>206</v>
      </c>
      <c r="B89" s="38" t="s">
        <v>202</v>
      </c>
      <c r="C89" s="38" t="s">
        <v>658</v>
      </c>
      <c r="D89" s="35">
        <v>42768</v>
      </c>
      <c r="E89" s="34"/>
      <c r="F89" s="38" t="s">
        <v>207</v>
      </c>
      <c r="G89" s="38" t="s">
        <v>208</v>
      </c>
      <c r="H89" s="38">
        <v>5304029.8490000004</v>
      </c>
      <c r="I89" s="38">
        <v>1657679.7609999999</v>
      </c>
      <c r="J89" s="38">
        <v>11.994</v>
      </c>
      <c r="K89" s="56" t="s">
        <v>11</v>
      </c>
      <c r="L89" s="38">
        <f>SUM(J89-J$88)</f>
        <v>0.3490000000000002</v>
      </c>
      <c r="M89" s="38">
        <v>1.909</v>
      </c>
      <c r="N89" s="54">
        <f>SUM(L89:M89)-O$89-P$89</f>
        <v>0.89799999999999991</v>
      </c>
      <c r="O89" s="54">
        <v>1.1000000000000001</v>
      </c>
      <c r="P89" s="54">
        <v>0.26</v>
      </c>
      <c r="Q89" s="54">
        <f>AVERAGE(N89:N108)</f>
        <v>0.9871000000000002</v>
      </c>
      <c r="R89" s="53">
        <f>STDEVA(N89:N108)</f>
        <v>6.7366944885142971E-2</v>
      </c>
      <c r="S89" s="53"/>
      <c r="T89" s="3"/>
    </row>
    <row r="90" spans="1:20" x14ac:dyDescent="0.3">
      <c r="A90" s="38" t="s">
        <v>209</v>
      </c>
      <c r="B90" s="38" t="s">
        <v>202</v>
      </c>
      <c r="C90" s="38" t="s">
        <v>658</v>
      </c>
      <c r="D90" s="35">
        <v>42768</v>
      </c>
      <c r="E90" s="34"/>
      <c r="F90" s="38" t="s">
        <v>210</v>
      </c>
      <c r="G90" s="38" t="s">
        <v>211</v>
      </c>
      <c r="H90" s="38">
        <v>5304030.7189999996</v>
      </c>
      <c r="I90" s="38">
        <v>1657679.186</v>
      </c>
      <c r="J90" s="38">
        <v>12.055</v>
      </c>
      <c r="K90" s="56" t="s">
        <v>11</v>
      </c>
      <c r="L90" s="38">
        <f t="shared" ref="L90:L108" si="4">SUM(J90-J$88)</f>
        <v>0.41000000000000014</v>
      </c>
      <c r="M90" s="38">
        <v>1.909</v>
      </c>
      <c r="N90" s="54">
        <f>SUM(L90:M90)-O$89-P$89</f>
        <v>0.95899999999999985</v>
      </c>
      <c r="O90" s="54"/>
      <c r="P90" s="54"/>
      <c r="Q90" s="54"/>
      <c r="S90" s="53"/>
      <c r="T90" s="3"/>
    </row>
    <row r="91" spans="1:20" x14ac:dyDescent="0.3">
      <c r="A91" s="38" t="s">
        <v>212</v>
      </c>
      <c r="B91" s="38" t="s">
        <v>202</v>
      </c>
      <c r="C91" s="38" t="s">
        <v>658</v>
      </c>
      <c r="D91" s="35">
        <v>42768</v>
      </c>
      <c r="E91" s="34"/>
      <c r="F91" s="38" t="s">
        <v>213</v>
      </c>
      <c r="G91" s="38" t="s">
        <v>214</v>
      </c>
      <c r="H91" s="38">
        <v>5304019.7319999998</v>
      </c>
      <c r="I91" s="38">
        <v>1657664.0830000001</v>
      </c>
      <c r="J91" s="38">
        <v>12.11</v>
      </c>
      <c r="K91" s="56" t="s">
        <v>11</v>
      </c>
      <c r="L91" s="38">
        <f t="shared" si="4"/>
        <v>0.46499999999999986</v>
      </c>
      <c r="M91" s="38">
        <v>1.909</v>
      </c>
      <c r="N91" s="54">
        <f>SUM(L91:M91)-O$89-P$89</f>
        <v>1.0139999999999996</v>
      </c>
      <c r="S91" s="53"/>
      <c r="T91" s="3"/>
    </row>
    <row r="92" spans="1:20" x14ac:dyDescent="0.3">
      <c r="A92" s="38" t="s">
        <v>215</v>
      </c>
      <c r="B92" s="38" t="s">
        <v>202</v>
      </c>
      <c r="C92" s="38" t="s">
        <v>658</v>
      </c>
      <c r="D92" s="35">
        <v>42768</v>
      </c>
      <c r="E92" s="34"/>
      <c r="F92" s="38" t="s">
        <v>216</v>
      </c>
      <c r="G92" s="38" t="s">
        <v>217</v>
      </c>
      <c r="H92" s="38">
        <v>5304024.9680000003</v>
      </c>
      <c r="I92" s="38">
        <v>1657661.888</v>
      </c>
      <c r="J92" s="38">
        <v>12.089</v>
      </c>
      <c r="K92" s="56" t="s">
        <v>11</v>
      </c>
      <c r="L92" s="38">
        <f t="shared" si="4"/>
        <v>0.44400000000000084</v>
      </c>
      <c r="M92" s="38">
        <v>1.909</v>
      </c>
      <c r="N92" s="54">
        <f>SUM(L92:M92)-O$89-P$89</f>
        <v>0.99300000000000055</v>
      </c>
      <c r="S92" s="53"/>
      <c r="T92" s="3"/>
    </row>
    <row r="93" spans="1:20" x14ac:dyDescent="0.3">
      <c r="A93" s="38" t="s">
        <v>218</v>
      </c>
      <c r="B93" s="38" t="s">
        <v>202</v>
      </c>
      <c r="C93" s="38" t="s">
        <v>658</v>
      </c>
      <c r="D93" s="35">
        <v>42768</v>
      </c>
      <c r="E93" s="34"/>
      <c r="F93" s="38" t="s">
        <v>219</v>
      </c>
      <c r="G93" s="38" t="s">
        <v>220</v>
      </c>
      <c r="H93" s="38">
        <v>5304023.7829999998</v>
      </c>
      <c r="I93" s="38">
        <v>1657662.4240000001</v>
      </c>
      <c r="J93" s="38">
        <v>12.095000000000001</v>
      </c>
      <c r="K93" s="56" t="s">
        <v>11</v>
      </c>
      <c r="L93" s="38">
        <f t="shared" si="4"/>
        <v>0.45000000000000107</v>
      </c>
      <c r="M93" s="38">
        <v>1.909</v>
      </c>
      <c r="N93" s="54">
        <f>SUM(L93:M93)-O$89-P$89</f>
        <v>0.99900000000000078</v>
      </c>
    </row>
    <row r="94" spans="1:20" x14ac:dyDescent="0.3">
      <c r="A94" s="38" t="s">
        <v>221</v>
      </c>
      <c r="B94" s="38" t="s">
        <v>202</v>
      </c>
      <c r="C94" s="38" t="s">
        <v>658</v>
      </c>
      <c r="D94" s="35">
        <v>42768</v>
      </c>
      <c r="E94" s="34"/>
      <c r="F94" s="38" t="s">
        <v>222</v>
      </c>
      <c r="G94" s="38" t="s">
        <v>223</v>
      </c>
      <c r="H94" s="38">
        <v>5304026.2970000003</v>
      </c>
      <c r="I94" s="38">
        <v>1657660.2180000001</v>
      </c>
      <c r="J94" s="38">
        <v>12.125999999999999</v>
      </c>
      <c r="K94" s="56" t="s">
        <v>11</v>
      </c>
      <c r="L94" s="38">
        <f t="shared" si="4"/>
        <v>0.48099999999999987</v>
      </c>
      <c r="M94" s="38">
        <v>1.909</v>
      </c>
      <c r="N94" s="54">
        <f>SUM(L94:M94)-O$89-P$89</f>
        <v>1.0299999999999996</v>
      </c>
    </row>
    <row r="95" spans="1:20" x14ac:dyDescent="0.3">
      <c r="A95" s="38" t="s">
        <v>224</v>
      </c>
      <c r="B95" s="38" t="s">
        <v>202</v>
      </c>
      <c r="C95" s="38" t="s">
        <v>658</v>
      </c>
      <c r="D95" s="35">
        <v>42768</v>
      </c>
      <c r="E95" s="34"/>
      <c r="F95" s="38" t="s">
        <v>225</v>
      </c>
      <c r="G95" s="38" t="s">
        <v>226</v>
      </c>
      <c r="H95" s="38">
        <v>5304027.4309999999</v>
      </c>
      <c r="I95" s="38">
        <v>1657658.942</v>
      </c>
      <c r="J95" s="38">
        <v>12.114000000000001</v>
      </c>
      <c r="K95" s="56" t="s">
        <v>11</v>
      </c>
      <c r="L95" s="38">
        <f t="shared" si="4"/>
        <v>0.46900000000000119</v>
      </c>
      <c r="M95" s="38">
        <v>1.909</v>
      </c>
      <c r="N95" s="54">
        <f>SUM(L95:M95)-O$89-P$89</f>
        <v>1.0180000000000009</v>
      </c>
    </row>
    <row r="96" spans="1:20" x14ac:dyDescent="0.3">
      <c r="A96" s="38" t="s">
        <v>227</v>
      </c>
      <c r="B96" s="38" t="s">
        <v>202</v>
      </c>
      <c r="C96" s="38" t="s">
        <v>658</v>
      </c>
      <c r="D96" s="35">
        <v>42768</v>
      </c>
      <c r="E96" s="34"/>
      <c r="F96" s="38" t="s">
        <v>228</v>
      </c>
      <c r="G96" s="38" t="s">
        <v>229</v>
      </c>
      <c r="H96" s="38">
        <v>5304028.2120000003</v>
      </c>
      <c r="I96" s="38">
        <v>1657658.584</v>
      </c>
      <c r="J96" s="38">
        <v>12.103</v>
      </c>
      <c r="K96" s="56" t="s">
        <v>11</v>
      </c>
      <c r="L96" s="38">
        <f t="shared" si="4"/>
        <v>0.45800000000000018</v>
      </c>
      <c r="M96" s="38">
        <v>1.909</v>
      </c>
      <c r="N96" s="54">
        <f>SUM(L96:M96)-O$89-P$89</f>
        <v>1.0069999999999999</v>
      </c>
    </row>
    <row r="97" spans="1:19" x14ac:dyDescent="0.3">
      <c r="A97" s="38" t="s">
        <v>230</v>
      </c>
      <c r="B97" s="38" t="s">
        <v>202</v>
      </c>
      <c r="C97" s="38" t="s">
        <v>658</v>
      </c>
      <c r="D97" s="35">
        <v>42768</v>
      </c>
      <c r="E97" s="34"/>
      <c r="F97" s="38" t="s">
        <v>231</v>
      </c>
      <c r="G97" s="38" t="s">
        <v>232</v>
      </c>
      <c r="H97" s="38">
        <v>5304028.1490000002</v>
      </c>
      <c r="I97" s="38">
        <v>1657658.27</v>
      </c>
      <c r="J97" s="38">
        <v>12.099</v>
      </c>
      <c r="K97" s="56" t="s">
        <v>11</v>
      </c>
      <c r="L97" s="38">
        <f t="shared" si="4"/>
        <v>0.45400000000000063</v>
      </c>
      <c r="M97" s="38">
        <v>1.909</v>
      </c>
      <c r="N97" s="54">
        <f>SUM(L97:M97)-O$89-P$89</f>
        <v>1.0030000000000003</v>
      </c>
    </row>
    <row r="98" spans="1:19" x14ac:dyDescent="0.3">
      <c r="A98" s="38" t="s">
        <v>233</v>
      </c>
      <c r="B98" s="38" t="s">
        <v>202</v>
      </c>
      <c r="C98" s="38" t="s">
        <v>658</v>
      </c>
      <c r="D98" s="35">
        <v>42768</v>
      </c>
      <c r="E98" s="34"/>
      <c r="F98" s="38" t="s">
        <v>234</v>
      </c>
      <c r="G98" s="38" t="s">
        <v>235</v>
      </c>
      <c r="H98" s="38">
        <v>5304025.1720000003</v>
      </c>
      <c r="I98" s="38">
        <v>1657658.8759999999</v>
      </c>
      <c r="J98" s="38">
        <v>12.051</v>
      </c>
      <c r="K98" s="56" t="s">
        <v>11</v>
      </c>
      <c r="L98" s="38">
        <f t="shared" si="4"/>
        <v>0.40600000000000058</v>
      </c>
      <c r="M98" s="38">
        <v>1.909</v>
      </c>
      <c r="N98" s="54">
        <f>SUM(L98:M98)-O$89-P$89</f>
        <v>0.95500000000000029</v>
      </c>
    </row>
    <row r="99" spans="1:19" x14ac:dyDescent="0.3">
      <c r="A99" s="38" t="s">
        <v>236</v>
      </c>
      <c r="B99" s="38" t="s">
        <v>202</v>
      </c>
      <c r="C99" s="38" t="s">
        <v>658</v>
      </c>
      <c r="D99" s="35">
        <v>42768</v>
      </c>
      <c r="E99" s="34"/>
      <c r="F99" s="38" t="s">
        <v>237</v>
      </c>
      <c r="G99" s="38" t="s">
        <v>238</v>
      </c>
      <c r="H99" s="38">
        <v>5304026.7939999998</v>
      </c>
      <c r="I99" s="38">
        <v>1657655.773</v>
      </c>
      <c r="J99" s="38">
        <v>12.085000000000001</v>
      </c>
      <c r="K99" s="56" t="s">
        <v>11</v>
      </c>
      <c r="L99" s="38">
        <f t="shared" si="4"/>
        <v>0.44000000000000128</v>
      </c>
      <c r="M99" s="38">
        <v>1.909</v>
      </c>
      <c r="N99" s="54">
        <f>SUM(L99:M99)-O$89-P$89</f>
        <v>0.98900000000000099</v>
      </c>
    </row>
    <row r="100" spans="1:19" x14ac:dyDescent="0.3">
      <c r="A100" s="38" t="s">
        <v>239</v>
      </c>
      <c r="B100" s="38" t="s">
        <v>202</v>
      </c>
      <c r="C100" s="38" t="s">
        <v>658</v>
      </c>
      <c r="D100" s="35">
        <v>42768</v>
      </c>
      <c r="E100" s="34"/>
      <c r="F100" s="38" t="s">
        <v>240</v>
      </c>
      <c r="G100" s="38" t="s">
        <v>241</v>
      </c>
      <c r="H100" s="38">
        <v>5304026.0259999996</v>
      </c>
      <c r="I100" s="38">
        <v>1657650.916</v>
      </c>
      <c r="J100" s="38">
        <v>12.041</v>
      </c>
      <c r="K100" s="56" t="s">
        <v>11</v>
      </c>
      <c r="L100" s="38">
        <f t="shared" si="4"/>
        <v>0.3960000000000008</v>
      </c>
      <c r="M100" s="38">
        <v>1.909</v>
      </c>
      <c r="N100" s="54">
        <f>SUM(L100:M100)-O$89-P$89</f>
        <v>0.94500000000000051</v>
      </c>
      <c r="O100" s="54"/>
      <c r="P100" s="54"/>
      <c r="Q100" s="54"/>
      <c r="R100" s="54"/>
      <c r="S100" s="54"/>
    </row>
    <row r="101" spans="1:19" x14ac:dyDescent="0.3">
      <c r="A101" s="38" t="s">
        <v>242</v>
      </c>
      <c r="B101" s="38" t="s">
        <v>202</v>
      </c>
      <c r="C101" s="38" t="s">
        <v>658</v>
      </c>
      <c r="D101" s="35">
        <v>42768</v>
      </c>
      <c r="E101" s="34"/>
      <c r="F101" s="38" t="s">
        <v>243</v>
      </c>
      <c r="G101" s="38" t="s">
        <v>244</v>
      </c>
      <c r="H101" s="38">
        <v>5304026.3810000001</v>
      </c>
      <c r="I101" s="38">
        <v>1657649.898</v>
      </c>
      <c r="J101" s="38">
        <v>12.03</v>
      </c>
      <c r="K101" s="56" t="s">
        <v>11</v>
      </c>
      <c r="L101" s="38">
        <f t="shared" si="4"/>
        <v>0.38499999999999979</v>
      </c>
      <c r="M101" s="38">
        <v>1.909</v>
      </c>
      <c r="N101" s="54">
        <f>SUM(L101:M101)-O$89-P$89</f>
        <v>0.9339999999999995</v>
      </c>
      <c r="O101" s="54"/>
      <c r="P101" s="54"/>
      <c r="Q101" s="54"/>
      <c r="R101" s="54"/>
      <c r="S101" s="54"/>
    </row>
    <row r="102" spans="1:19" x14ac:dyDescent="0.3">
      <c r="A102" s="38" t="s">
        <v>245</v>
      </c>
      <c r="B102" s="38" t="s">
        <v>202</v>
      </c>
      <c r="C102" s="38" t="s">
        <v>658</v>
      </c>
      <c r="D102" s="35">
        <v>42768</v>
      </c>
      <c r="E102" s="34"/>
      <c r="F102" s="38" t="s">
        <v>246</v>
      </c>
      <c r="G102" s="38" t="s">
        <v>247</v>
      </c>
      <c r="H102" s="38">
        <v>5304027.3830000004</v>
      </c>
      <c r="I102" s="38">
        <v>1657649.23</v>
      </c>
      <c r="J102" s="38">
        <v>12.032999999999999</v>
      </c>
      <c r="K102" s="56" t="s">
        <v>11</v>
      </c>
      <c r="L102" s="38">
        <f t="shared" si="4"/>
        <v>0.3879999999999999</v>
      </c>
      <c r="M102" s="38">
        <v>1.909</v>
      </c>
      <c r="N102" s="54">
        <f>SUM(L102:M102)-O$89-P$89</f>
        <v>0.93699999999999961</v>
      </c>
      <c r="O102" s="54"/>
      <c r="P102" s="54"/>
      <c r="Q102" s="54"/>
      <c r="R102" s="54"/>
      <c r="S102" s="54"/>
    </row>
    <row r="103" spans="1:19" x14ac:dyDescent="0.3">
      <c r="A103" s="38" t="s">
        <v>248</v>
      </c>
      <c r="B103" s="38" t="s">
        <v>202</v>
      </c>
      <c r="C103" s="38" t="s">
        <v>658</v>
      </c>
      <c r="D103" s="35">
        <v>42768</v>
      </c>
      <c r="E103" s="34"/>
      <c r="F103" s="38" t="s">
        <v>249</v>
      </c>
      <c r="G103" s="38" t="s">
        <v>250</v>
      </c>
      <c r="H103" s="38">
        <v>5304030.2429999998</v>
      </c>
      <c r="I103" s="38">
        <v>1657649.46</v>
      </c>
      <c r="J103" s="38">
        <v>12.022</v>
      </c>
      <c r="K103" s="56" t="s">
        <v>11</v>
      </c>
      <c r="L103" s="38">
        <f t="shared" si="4"/>
        <v>0.37700000000000067</v>
      </c>
      <c r="M103" s="38">
        <v>1.909</v>
      </c>
      <c r="N103" s="54">
        <f>SUM(L103:M103)-O$89-P$89</f>
        <v>0.92600000000000038</v>
      </c>
      <c r="O103" s="54"/>
      <c r="P103" s="54"/>
      <c r="Q103" s="54"/>
      <c r="R103" s="54"/>
      <c r="S103" s="54"/>
    </row>
    <row r="104" spans="1:19" x14ac:dyDescent="0.3">
      <c r="A104" s="38" t="s">
        <v>251</v>
      </c>
      <c r="B104" s="38" t="s">
        <v>202</v>
      </c>
      <c r="C104" s="38" t="s">
        <v>658</v>
      </c>
      <c r="D104" s="35">
        <v>42768</v>
      </c>
      <c r="E104" s="34"/>
      <c r="F104" s="38" t="s">
        <v>252</v>
      </c>
      <c r="G104" s="38" t="s">
        <v>253</v>
      </c>
      <c r="H104" s="38">
        <v>5304030.6950000003</v>
      </c>
      <c r="I104" s="38">
        <v>1657649.798</v>
      </c>
      <c r="J104" s="38">
        <v>11.945</v>
      </c>
      <c r="K104" s="56" t="s">
        <v>11</v>
      </c>
      <c r="L104" s="38">
        <f t="shared" si="4"/>
        <v>0.30000000000000071</v>
      </c>
      <c r="M104" s="38">
        <v>1.909</v>
      </c>
      <c r="N104" s="54">
        <f>SUM(L104:M104)-O$89-P$89</f>
        <v>0.84900000000000042</v>
      </c>
      <c r="O104" s="54"/>
      <c r="P104" s="54"/>
      <c r="Q104" s="54"/>
      <c r="R104" s="54"/>
      <c r="S104" s="54"/>
    </row>
    <row r="105" spans="1:19" x14ac:dyDescent="0.3">
      <c r="A105" s="38" t="s">
        <v>254</v>
      </c>
      <c r="B105" s="38" t="s">
        <v>202</v>
      </c>
      <c r="C105" s="38" t="s">
        <v>658</v>
      </c>
      <c r="D105" s="35">
        <v>42768</v>
      </c>
      <c r="E105" s="34"/>
      <c r="F105" s="38" t="s">
        <v>255</v>
      </c>
      <c r="G105" s="38" t="s">
        <v>256</v>
      </c>
      <c r="H105" s="38">
        <v>5304031.99</v>
      </c>
      <c r="I105" s="38">
        <v>1657649.585</v>
      </c>
      <c r="J105" s="38">
        <v>12.22</v>
      </c>
      <c r="K105" s="56" t="s">
        <v>11</v>
      </c>
      <c r="L105" s="38">
        <f t="shared" si="4"/>
        <v>0.57500000000000107</v>
      </c>
      <c r="M105" s="38">
        <v>1.909</v>
      </c>
      <c r="N105" s="54">
        <f>SUM(L105:M105)-O$89-P$89</f>
        <v>1.1240000000000008</v>
      </c>
      <c r="O105" s="54"/>
      <c r="P105" s="54"/>
      <c r="Q105" s="54"/>
      <c r="R105" s="54"/>
      <c r="S105" s="54"/>
    </row>
    <row r="106" spans="1:19" x14ac:dyDescent="0.3">
      <c r="A106" s="38" t="s">
        <v>257</v>
      </c>
      <c r="B106" s="38" t="s">
        <v>202</v>
      </c>
      <c r="C106" s="38" t="s">
        <v>658</v>
      </c>
      <c r="D106" s="35">
        <v>42768</v>
      </c>
      <c r="E106" s="34"/>
      <c r="F106" s="38" t="s">
        <v>258</v>
      </c>
      <c r="G106" s="38" t="s">
        <v>259</v>
      </c>
      <c r="H106" s="38">
        <v>5304032.8949999996</v>
      </c>
      <c r="I106" s="38">
        <v>1657648.72</v>
      </c>
      <c r="J106" s="38">
        <v>12.228999999999999</v>
      </c>
      <c r="K106" s="56" t="s">
        <v>11</v>
      </c>
      <c r="L106" s="38">
        <f t="shared" si="4"/>
        <v>0.58399999999999963</v>
      </c>
      <c r="M106" s="38">
        <v>1.909</v>
      </c>
      <c r="N106" s="54">
        <f>SUM(L106:M106)-O$89-P$89</f>
        <v>1.1329999999999993</v>
      </c>
      <c r="O106" s="54"/>
      <c r="P106" s="54"/>
      <c r="Q106" s="54"/>
      <c r="R106" s="54"/>
      <c r="S106" s="54"/>
    </row>
    <row r="107" spans="1:19" x14ac:dyDescent="0.3">
      <c r="A107" s="38" t="s">
        <v>260</v>
      </c>
      <c r="B107" s="38" t="s">
        <v>202</v>
      </c>
      <c r="C107" s="38" t="s">
        <v>658</v>
      </c>
      <c r="D107" s="35">
        <v>42768</v>
      </c>
      <c r="E107" s="34"/>
      <c r="F107" s="38" t="s">
        <v>261</v>
      </c>
      <c r="G107" s="38" t="s">
        <v>262</v>
      </c>
      <c r="H107" s="38">
        <v>5304033.1069999998</v>
      </c>
      <c r="I107" s="38">
        <v>1657649.9639999999</v>
      </c>
      <c r="J107" s="38">
        <v>12.129</v>
      </c>
      <c r="K107" s="56" t="s">
        <v>11</v>
      </c>
      <c r="L107" s="38">
        <f t="shared" si="4"/>
        <v>0.48399999999999999</v>
      </c>
      <c r="M107" s="38">
        <v>1.909</v>
      </c>
      <c r="N107" s="54">
        <f>SUM(L107:M107)-O$89-P$89</f>
        <v>1.0329999999999997</v>
      </c>
      <c r="O107" s="54"/>
      <c r="P107" s="54"/>
      <c r="Q107" s="54"/>
      <c r="R107" s="54"/>
      <c r="S107" s="54"/>
    </row>
    <row r="108" spans="1:19" x14ac:dyDescent="0.3">
      <c r="A108" s="38" t="s">
        <v>263</v>
      </c>
      <c r="B108" s="38" t="s">
        <v>202</v>
      </c>
      <c r="C108" s="38" t="s">
        <v>658</v>
      </c>
      <c r="D108" s="35">
        <v>42768</v>
      </c>
      <c r="E108" s="34"/>
      <c r="F108" s="38" t="s">
        <v>264</v>
      </c>
      <c r="G108" s="38" t="s">
        <v>265</v>
      </c>
      <c r="H108" s="38">
        <v>5304029.8590000002</v>
      </c>
      <c r="I108" s="38">
        <v>1657648.74</v>
      </c>
      <c r="J108" s="38">
        <v>12.092000000000001</v>
      </c>
      <c r="K108" s="56" t="s">
        <v>11</v>
      </c>
      <c r="L108" s="38">
        <f t="shared" si="4"/>
        <v>0.44700000000000095</v>
      </c>
      <c r="M108" s="38">
        <v>1.909</v>
      </c>
      <c r="N108" s="54">
        <f>SUM(L108:M108)-O$89-P$89</f>
        <v>0.99600000000000066</v>
      </c>
      <c r="O108" s="54"/>
      <c r="P108" s="54"/>
      <c r="Q108" s="54"/>
      <c r="R108" s="54"/>
      <c r="S108" s="54"/>
    </row>
    <row r="109" spans="1:19" x14ac:dyDescent="0.3">
      <c r="A109" s="38" t="s">
        <v>266</v>
      </c>
      <c r="B109" s="38" t="s">
        <v>202</v>
      </c>
      <c r="C109" s="38" t="s">
        <v>658</v>
      </c>
      <c r="D109" s="35">
        <v>42768</v>
      </c>
      <c r="E109" s="34">
        <v>1357</v>
      </c>
      <c r="F109" s="38" t="s">
        <v>267</v>
      </c>
      <c r="G109" s="38" t="s">
        <v>268</v>
      </c>
      <c r="H109" s="38">
        <v>5304077.58</v>
      </c>
      <c r="I109" s="38">
        <v>1657841.1810000001</v>
      </c>
      <c r="J109" s="38">
        <v>11.529</v>
      </c>
      <c r="K109" s="38" t="s">
        <v>205</v>
      </c>
      <c r="L109" s="54"/>
      <c r="N109" s="54"/>
      <c r="O109" s="54"/>
      <c r="P109" s="54"/>
      <c r="Q109" s="54"/>
      <c r="R109" s="54"/>
      <c r="S109" s="54"/>
    </row>
    <row r="110" spans="1:19" x14ac:dyDescent="0.3">
      <c r="A110" s="38" t="s">
        <v>269</v>
      </c>
      <c r="B110" s="38" t="s">
        <v>202</v>
      </c>
      <c r="C110" s="38" t="s">
        <v>658</v>
      </c>
      <c r="D110" s="35">
        <v>42768</v>
      </c>
      <c r="E110" s="34"/>
      <c r="F110" s="38" t="s">
        <v>270</v>
      </c>
      <c r="G110" s="38" t="s">
        <v>271</v>
      </c>
      <c r="H110" s="38">
        <v>5304077.5020000003</v>
      </c>
      <c r="I110" s="38">
        <v>1657839.737</v>
      </c>
      <c r="J110" s="38">
        <v>12.023999999999999</v>
      </c>
      <c r="K110" s="56" t="s">
        <v>11</v>
      </c>
      <c r="L110" s="38">
        <f>SUM(J110-J$109)</f>
        <v>0.49499999999999922</v>
      </c>
      <c r="M110" s="38">
        <v>1.8120000000000001</v>
      </c>
      <c r="N110" s="54">
        <f>SUM(L110:M110)-O$110-P$110</f>
        <v>0.9469999999999994</v>
      </c>
      <c r="O110" s="54">
        <v>1.1000000000000001</v>
      </c>
      <c r="P110" s="54">
        <v>0.26</v>
      </c>
      <c r="Q110" s="54">
        <f>AVERAGE(N110:N128)</f>
        <v>0.9232105263157897</v>
      </c>
      <c r="R110" s="53">
        <f>STDEVA(N110:N128)</f>
        <v>0.10252077239237951</v>
      </c>
      <c r="S110" s="54"/>
    </row>
    <row r="111" spans="1:19" x14ac:dyDescent="0.3">
      <c r="A111" s="38" t="s">
        <v>272</v>
      </c>
      <c r="B111" s="38" t="s">
        <v>202</v>
      </c>
      <c r="C111" s="38" t="s">
        <v>658</v>
      </c>
      <c r="D111" s="35">
        <v>42768</v>
      </c>
      <c r="E111" s="34"/>
      <c r="F111" s="38" t="s">
        <v>273</v>
      </c>
      <c r="G111" s="38" t="s">
        <v>274</v>
      </c>
      <c r="H111" s="38">
        <v>5304077.7860000003</v>
      </c>
      <c r="I111" s="38">
        <v>1657840.7919999999</v>
      </c>
      <c r="J111" s="38">
        <v>11.914</v>
      </c>
      <c r="K111" s="56" t="s">
        <v>11</v>
      </c>
      <c r="L111" s="38">
        <f t="shared" ref="L111:L128" si="5">SUM(J111-J$109)</f>
        <v>0.38499999999999979</v>
      </c>
      <c r="M111" s="38">
        <v>1.8120000000000001</v>
      </c>
      <c r="N111" s="54">
        <f>SUM(L111:M111)-O$110-P$110</f>
        <v>0.83699999999999997</v>
      </c>
      <c r="O111" s="54"/>
      <c r="P111" s="54"/>
      <c r="Q111" s="54"/>
      <c r="R111" s="54"/>
      <c r="S111" s="54"/>
    </row>
    <row r="112" spans="1:19" x14ac:dyDescent="0.3">
      <c r="A112" s="38" t="s">
        <v>275</v>
      </c>
      <c r="B112" s="38" t="s">
        <v>202</v>
      </c>
      <c r="C112" s="38" t="s">
        <v>658</v>
      </c>
      <c r="D112" s="35">
        <v>42768</v>
      </c>
      <c r="E112" s="34"/>
      <c r="F112" s="38" t="s">
        <v>276</v>
      </c>
      <c r="G112" s="38" t="s">
        <v>277</v>
      </c>
      <c r="H112" s="38">
        <v>5304078.1260000002</v>
      </c>
      <c r="I112" s="38">
        <v>1657841.723</v>
      </c>
      <c r="J112" s="38">
        <v>11.936999999999999</v>
      </c>
      <c r="K112" s="56" t="s">
        <v>11</v>
      </c>
      <c r="L112" s="38">
        <f t="shared" si="5"/>
        <v>0.40799999999999947</v>
      </c>
      <c r="M112" s="38">
        <v>1.8120000000000001</v>
      </c>
      <c r="N112" s="54">
        <f>SUM(L112:M112)-O$110-P$110</f>
        <v>0.85999999999999965</v>
      </c>
      <c r="O112" s="54"/>
      <c r="P112" s="54"/>
      <c r="Q112" s="54"/>
      <c r="R112" s="54"/>
      <c r="S112" s="54"/>
    </row>
    <row r="113" spans="1:19" x14ac:dyDescent="0.3">
      <c r="A113" s="38" t="s">
        <v>278</v>
      </c>
      <c r="B113" s="38" t="s">
        <v>202</v>
      </c>
      <c r="C113" s="38" t="s">
        <v>658</v>
      </c>
      <c r="D113" s="35">
        <v>42768</v>
      </c>
      <c r="E113" s="34"/>
      <c r="F113" s="38" t="s">
        <v>279</v>
      </c>
      <c r="G113" s="38" t="s">
        <v>280</v>
      </c>
      <c r="H113" s="38">
        <v>5304078.4749999996</v>
      </c>
      <c r="I113" s="38">
        <v>1657841.8119999999</v>
      </c>
      <c r="J113" s="38">
        <v>11.903</v>
      </c>
      <c r="K113" s="56" t="s">
        <v>11</v>
      </c>
      <c r="L113" s="38">
        <f t="shared" si="5"/>
        <v>0.37400000000000055</v>
      </c>
      <c r="M113" s="38">
        <v>1.8120000000000001</v>
      </c>
      <c r="N113" s="54">
        <f>SUM(L113:M113)-O$110-P$110</f>
        <v>0.82600000000000073</v>
      </c>
      <c r="O113" s="54"/>
      <c r="P113" s="54"/>
      <c r="Q113" s="54"/>
      <c r="R113" s="54"/>
      <c r="S113" s="54"/>
    </row>
    <row r="114" spans="1:19" x14ac:dyDescent="0.3">
      <c r="A114" s="38" t="s">
        <v>281</v>
      </c>
      <c r="B114" s="38" t="s">
        <v>202</v>
      </c>
      <c r="C114" s="38" t="s">
        <v>658</v>
      </c>
      <c r="D114" s="35">
        <v>42768</v>
      </c>
      <c r="E114" s="34"/>
      <c r="F114" s="38" t="s">
        <v>282</v>
      </c>
      <c r="G114" s="38" t="s">
        <v>283</v>
      </c>
      <c r="H114" s="38">
        <v>5304078.5750000002</v>
      </c>
      <c r="I114" s="38">
        <v>1657842.666</v>
      </c>
      <c r="J114" s="38">
        <v>11.784000000000001</v>
      </c>
      <c r="K114" s="56" t="s">
        <v>11</v>
      </c>
      <c r="L114" s="38">
        <f t="shared" si="5"/>
        <v>0.25500000000000078</v>
      </c>
      <c r="M114" s="38">
        <v>1.8120000000000001</v>
      </c>
      <c r="N114" s="54">
        <f>SUM(L114:M114)-O$110-P$110</f>
        <v>0.70700000000000096</v>
      </c>
      <c r="O114" s="54"/>
      <c r="P114" s="54"/>
      <c r="Q114" s="54"/>
      <c r="R114" s="54"/>
      <c r="S114" s="54"/>
    </row>
    <row r="115" spans="1:19" x14ac:dyDescent="0.3">
      <c r="A115" s="38" t="s">
        <v>284</v>
      </c>
      <c r="B115" s="38" t="s">
        <v>202</v>
      </c>
      <c r="C115" s="38" t="s">
        <v>658</v>
      </c>
      <c r="D115" s="35">
        <v>42768</v>
      </c>
      <c r="E115" s="34"/>
      <c r="F115" s="38" t="s">
        <v>285</v>
      </c>
      <c r="G115" s="38" t="s">
        <v>286</v>
      </c>
      <c r="H115" s="38">
        <v>5304080.1960000005</v>
      </c>
      <c r="I115" s="38">
        <v>1657844.4410000001</v>
      </c>
      <c r="J115" s="38">
        <v>12.06</v>
      </c>
      <c r="K115" s="56" t="s">
        <v>11</v>
      </c>
      <c r="L115" s="38">
        <f t="shared" si="5"/>
        <v>0.53100000000000058</v>
      </c>
      <c r="M115" s="38">
        <v>1.8120000000000001</v>
      </c>
      <c r="N115" s="54">
        <f>SUM(L115:M115)-O$110-P$110</f>
        <v>0.98300000000000076</v>
      </c>
      <c r="O115" s="54"/>
      <c r="P115" s="54"/>
      <c r="Q115" s="54"/>
      <c r="R115" s="54"/>
      <c r="S115" s="54"/>
    </row>
    <row r="116" spans="1:19" x14ac:dyDescent="0.3">
      <c r="A116" s="38" t="s">
        <v>287</v>
      </c>
      <c r="B116" s="38" t="s">
        <v>202</v>
      </c>
      <c r="C116" s="38" t="s">
        <v>658</v>
      </c>
      <c r="D116" s="35">
        <v>42768</v>
      </c>
      <c r="E116" s="34"/>
      <c r="F116" s="38" t="s">
        <v>288</v>
      </c>
      <c r="G116" s="38" t="s">
        <v>289</v>
      </c>
      <c r="H116" s="38">
        <v>5304082.8660000004</v>
      </c>
      <c r="I116" s="38">
        <v>1657847.03</v>
      </c>
      <c r="J116" s="38">
        <v>11.936999999999999</v>
      </c>
      <c r="K116" s="56" t="s">
        <v>11</v>
      </c>
      <c r="L116" s="38">
        <f t="shared" si="5"/>
        <v>0.40799999999999947</v>
      </c>
      <c r="M116" s="38">
        <v>1.8120000000000001</v>
      </c>
      <c r="N116" s="54">
        <f>SUM(L116:M116)-O$110-P$110</f>
        <v>0.85999999999999965</v>
      </c>
      <c r="O116" s="54"/>
      <c r="P116" s="54"/>
      <c r="Q116" s="54"/>
      <c r="R116" s="54"/>
      <c r="S116" s="54"/>
    </row>
    <row r="117" spans="1:19" x14ac:dyDescent="0.3">
      <c r="A117" s="38" t="s">
        <v>290</v>
      </c>
      <c r="B117" s="38" t="s">
        <v>202</v>
      </c>
      <c r="C117" s="38" t="s">
        <v>658</v>
      </c>
      <c r="D117" s="35">
        <v>42768</v>
      </c>
      <c r="E117" s="34"/>
      <c r="F117" s="38" t="s">
        <v>291</v>
      </c>
      <c r="G117" s="38" t="s">
        <v>292</v>
      </c>
      <c r="H117" s="38">
        <v>5304082.7070000004</v>
      </c>
      <c r="I117" s="38">
        <v>1657848.8559999999</v>
      </c>
      <c r="J117" s="38">
        <v>12.029</v>
      </c>
      <c r="K117" s="56" t="s">
        <v>11</v>
      </c>
      <c r="L117" s="38">
        <f t="shared" si="5"/>
        <v>0.5</v>
      </c>
      <c r="M117" s="38">
        <v>1.8120000000000001</v>
      </c>
      <c r="N117" s="54">
        <f>SUM(L117:M117)-O$110-P$110</f>
        <v>0.95200000000000018</v>
      </c>
      <c r="O117" s="54"/>
      <c r="P117" s="54"/>
      <c r="Q117" s="54"/>
      <c r="R117" s="54"/>
      <c r="S117" s="54"/>
    </row>
    <row r="118" spans="1:19" x14ac:dyDescent="0.3">
      <c r="A118" s="38" t="s">
        <v>293</v>
      </c>
      <c r="B118" s="38" t="s">
        <v>202</v>
      </c>
      <c r="C118" s="38" t="s">
        <v>658</v>
      </c>
      <c r="D118" s="35">
        <v>42768</v>
      </c>
      <c r="E118" s="34"/>
      <c r="F118" s="38" t="s">
        <v>294</v>
      </c>
      <c r="G118" s="38" t="s">
        <v>295</v>
      </c>
      <c r="H118" s="38">
        <v>5304087.1100000003</v>
      </c>
      <c r="I118" s="38">
        <v>1657850.746</v>
      </c>
      <c r="J118" s="38">
        <v>11.989000000000001</v>
      </c>
      <c r="K118" s="56" t="s">
        <v>11</v>
      </c>
      <c r="L118" s="38">
        <f t="shared" si="5"/>
        <v>0.46000000000000085</v>
      </c>
      <c r="M118" s="38">
        <v>1.8120000000000001</v>
      </c>
      <c r="N118" s="54">
        <f>SUM(L118:M118)-O$110-P$110</f>
        <v>0.91200000000000103</v>
      </c>
      <c r="O118" s="54"/>
      <c r="P118" s="54"/>
      <c r="Q118" s="54"/>
      <c r="R118" s="54"/>
      <c r="S118" s="54"/>
    </row>
    <row r="119" spans="1:19" x14ac:dyDescent="0.3">
      <c r="A119" s="38" t="s">
        <v>296</v>
      </c>
      <c r="B119" s="38" t="s">
        <v>202</v>
      </c>
      <c r="C119" s="38" t="s">
        <v>658</v>
      </c>
      <c r="D119" s="35">
        <v>42768</v>
      </c>
      <c r="E119" s="34"/>
      <c r="F119" s="38" t="s">
        <v>297</v>
      </c>
      <c r="G119" s="38" t="s">
        <v>298</v>
      </c>
      <c r="H119" s="38">
        <v>5304085.9479999999</v>
      </c>
      <c r="I119" s="38">
        <v>1657853.165</v>
      </c>
      <c r="J119" s="38">
        <v>12.098000000000001</v>
      </c>
      <c r="K119" s="56" t="s">
        <v>11</v>
      </c>
      <c r="L119" s="38">
        <f t="shared" si="5"/>
        <v>0.56900000000000084</v>
      </c>
      <c r="M119" s="38">
        <v>1.8120000000000001</v>
      </c>
      <c r="N119" s="54">
        <f>SUM(L119:M119)-O$110-P$110</f>
        <v>1.021000000000001</v>
      </c>
      <c r="O119" s="54"/>
      <c r="P119" s="54"/>
      <c r="Q119" s="54"/>
      <c r="R119" s="54"/>
      <c r="S119" s="54"/>
    </row>
    <row r="120" spans="1:19" x14ac:dyDescent="0.3">
      <c r="A120" s="38" t="s">
        <v>299</v>
      </c>
      <c r="B120" s="38" t="s">
        <v>202</v>
      </c>
      <c r="C120" s="38" t="s">
        <v>658</v>
      </c>
      <c r="D120" s="35">
        <v>42768</v>
      </c>
      <c r="E120" s="34"/>
      <c r="F120" s="38" t="s">
        <v>300</v>
      </c>
      <c r="G120" s="38" t="s">
        <v>301</v>
      </c>
      <c r="H120" s="38">
        <v>5304084.9460000005</v>
      </c>
      <c r="I120" s="38">
        <v>1657852.524</v>
      </c>
      <c r="J120" s="38">
        <v>12.087999999999999</v>
      </c>
      <c r="K120" s="56" t="s">
        <v>11</v>
      </c>
      <c r="L120" s="38">
        <f t="shared" si="5"/>
        <v>0.55899999999999928</v>
      </c>
      <c r="M120" s="38">
        <v>1.8120000000000001</v>
      </c>
      <c r="N120" s="54">
        <f>SUM(L120:M120)-O$110-P$110</f>
        <v>1.0109999999999995</v>
      </c>
      <c r="O120" s="54"/>
      <c r="P120" s="54"/>
      <c r="Q120" s="54"/>
      <c r="R120" s="54"/>
      <c r="S120" s="54"/>
    </row>
    <row r="121" spans="1:19" x14ac:dyDescent="0.3">
      <c r="A121" s="38" t="s">
        <v>302</v>
      </c>
      <c r="B121" s="38" t="s">
        <v>202</v>
      </c>
      <c r="C121" s="38" t="s">
        <v>658</v>
      </c>
      <c r="D121" s="35">
        <v>42768</v>
      </c>
      <c r="E121" s="34"/>
      <c r="F121" s="38" t="s">
        <v>303</v>
      </c>
      <c r="G121" s="38" t="s">
        <v>304</v>
      </c>
      <c r="H121" s="38">
        <v>5304088.2209999999</v>
      </c>
      <c r="I121" s="38">
        <v>1657856.551</v>
      </c>
      <c r="J121" s="38">
        <v>12.198</v>
      </c>
      <c r="K121" s="56" t="s">
        <v>11</v>
      </c>
      <c r="L121" s="38">
        <f t="shared" si="5"/>
        <v>0.66900000000000048</v>
      </c>
      <c r="M121" s="38">
        <v>1.8120000000000001</v>
      </c>
      <c r="N121" s="54">
        <f>SUM(L121:M121)-O$110-P$110</f>
        <v>1.1210000000000007</v>
      </c>
      <c r="O121" s="54"/>
      <c r="P121" s="54"/>
      <c r="Q121" s="54"/>
      <c r="R121" s="54"/>
      <c r="S121" s="54"/>
    </row>
    <row r="122" spans="1:19" x14ac:dyDescent="0.3">
      <c r="A122" s="38" t="s">
        <v>305</v>
      </c>
      <c r="B122" s="38" t="s">
        <v>202</v>
      </c>
      <c r="C122" s="38" t="s">
        <v>658</v>
      </c>
      <c r="D122" s="35">
        <v>42768</v>
      </c>
      <c r="E122" s="34"/>
      <c r="F122" s="38" t="s">
        <v>306</v>
      </c>
      <c r="G122" s="38" t="s">
        <v>307</v>
      </c>
      <c r="H122" s="38">
        <v>5304088.6370000001</v>
      </c>
      <c r="I122" s="38">
        <v>1657857.3859999999</v>
      </c>
      <c r="J122" s="38">
        <v>12.129</v>
      </c>
      <c r="K122" s="56" t="s">
        <v>11</v>
      </c>
      <c r="L122" s="38">
        <f t="shared" si="5"/>
        <v>0.59999999999999964</v>
      </c>
      <c r="M122" s="38">
        <v>1.8120000000000001</v>
      </c>
      <c r="N122" s="54">
        <f>SUM(L122:M122)-O$110-P$110</f>
        <v>1.0519999999999998</v>
      </c>
      <c r="O122" s="54"/>
      <c r="P122" s="54"/>
      <c r="Q122" s="54"/>
      <c r="R122" s="54"/>
      <c r="S122" s="54"/>
    </row>
    <row r="123" spans="1:19" x14ac:dyDescent="0.3">
      <c r="A123" s="38" t="s">
        <v>308</v>
      </c>
      <c r="B123" s="38" t="s">
        <v>202</v>
      </c>
      <c r="C123" s="38" t="s">
        <v>658</v>
      </c>
      <c r="D123" s="35">
        <v>42768</v>
      </c>
      <c r="E123" s="34"/>
      <c r="F123" s="38" t="s">
        <v>309</v>
      </c>
      <c r="G123" s="38" t="s">
        <v>310</v>
      </c>
      <c r="H123" s="38">
        <v>5304089.43</v>
      </c>
      <c r="I123" s="38">
        <v>1657857.129</v>
      </c>
      <c r="J123" s="38">
        <v>12.132</v>
      </c>
      <c r="K123" s="56" t="s">
        <v>11</v>
      </c>
      <c r="L123" s="38">
        <f t="shared" si="5"/>
        <v>0.60299999999999976</v>
      </c>
      <c r="M123" s="38">
        <v>1.8120000000000001</v>
      </c>
      <c r="N123" s="54">
        <f>SUM(L123:M123)-O$110-P$110</f>
        <v>1.0549999999999999</v>
      </c>
      <c r="O123" s="54"/>
      <c r="P123" s="54"/>
      <c r="Q123" s="54"/>
      <c r="R123" s="54"/>
      <c r="S123" s="54"/>
    </row>
    <row r="124" spans="1:19" x14ac:dyDescent="0.3">
      <c r="A124" s="38" t="s">
        <v>311</v>
      </c>
      <c r="B124" s="38" t="s">
        <v>202</v>
      </c>
      <c r="C124" s="38" t="s">
        <v>658</v>
      </c>
      <c r="D124" s="35">
        <v>42768</v>
      </c>
      <c r="E124" s="34"/>
      <c r="F124" s="38" t="s">
        <v>312</v>
      </c>
      <c r="G124" s="38" t="s">
        <v>313</v>
      </c>
      <c r="H124" s="38">
        <v>5304090.7130000005</v>
      </c>
      <c r="I124" s="38">
        <v>1657855.987</v>
      </c>
      <c r="J124" s="38">
        <v>11.999000000000001</v>
      </c>
      <c r="K124" s="56" t="s">
        <v>11</v>
      </c>
      <c r="L124" s="38">
        <f t="shared" si="5"/>
        <v>0.47000000000000064</v>
      </c>
      <c r="M124" s="38">
        <v>1.8120000000000001</v>
      </c>
      <c r="N124" s="54">
        <f>SUM(L124:M124)-O$110-P$110</f>
        <v>0.92200000000000082</v>
      </c>
      <c r="O124" s="54"/>
      <c r="P124" s="54"/>
      <c r="Q124" s="54"/>
      <c r="R124" s="54"/>
      <c r="S124" s="54"/>
    </row>
    <row r="125" spans="1:19" x14ac:dyDescent="0.3">
      <c r="A125" s="38" t="s">
        <v>314</v>
      </c>
      <c r="B125" s="38" t="s">
        <v>202</v>
      </c>
      <c r="C125" s="38" t="s">
        <v>658</v>
      </c>
      <c r="D125" s="35">
        <v>42768</v>
      </c>
      <c r="E125" s="34"/>
      <c r="F125" s="38" t="s">
        <v>315</v>
      </c>
      <c r="G125" s="38" t="s">
        <v>316</v>
      </c>
      <c r="H125" s="38">
        <v>5304093.5959999999</v>
      </c>
      <c r="I125" s="38">
        <v>1657856.6510000001</v>
      </c>
      <c r="J125" s="38">
        <v>11.952</v>
      </c>
      <c r="K125" s="56" t="s">
        <v>11</v>
      </c>
      <c r="L125" s="38">
        <f t="shared" si="5"/>
        <v>0.42300000000000004</v>
      </c>
      <c r="M125" s="38">
        <v>1.8120000000000001</v>
      </c>
      <c r="N125" s="54">
        <f>SUM(L125:M125)-O$110-P$110</f>
        <v>0.87500000000000022</v>
      </c>
      <c r="O125" s="54"/>
      <c r="P125" s="54"/>
      <c r="Q125" s="54"/>
      <c r="R125" s="54"/>
      <c r="S125" s="54"/>
    </row>
    <row r="126" spans="1:19" x14ac:dyDescent="0.3">
      <c r="A126" s="38" t="s">
        <v>317</v>
      </c>
      <c r="B126" s="38" t="s">
        <v>202</v>
      </c>
      <c r="C126" s="38" t="s">
        <v>658</v>
      </c>
      <c r="D126" s="35">
        <v>42768</v>
      </c>
      <c r="E126" s="34"/>
      <c r="F126" s="38" t="s">
        <v>318</v>
      </c>
      <c r="G126" s="38" t="s">
        <v>319</v>
      </c>
      <c r="H126" s="38">
        <v>5304093.6040000003</v>
      </c>
      <c r="I126" s="38">
        <v>1657861.4709999999</v>
      </c>
      <c r="J126" s="38">
        <v>12.025</v>
      </c>
      <c r="K126" s="56" t="s">
        <v>11</v>
      </c>
      <c r="L126" s="38">
        <f t="shared" si="5"/>
        <v>0.49600000000000044</v>
      </c>
      <c r="M126" s="38">
        <v>1.8120000000000001</v>
      </c>
      <c r="N126" s="54">
        <f>SUM(L126:M126)-O$110-P$110</f>
        <v>0.94800000000000062</v>
      </c>
      <c r="O126" s="54"/>
      <c r="P126" s="54"/>
      <c r="Q126" s="54"/>
      <c r="R126" s="54"/>
      <c r="S126" s="54"/>
    </row>
    <row r="127" spans="1:19" x14ac:dyDescent="0.3">
      <c r="A127" s="38" t="s">
        <v>320</v>
      </c>
      <c r="B127" s="38" t="s">
        <v>202</v>
      </c>
      <c r="C127" s="38" t="s">
        <v>658</v>
      </c>
      <c r="D127" s="35">
        <v>42768</v>
      </c>
      <c r="E127" s="34"/>
      <c r="F127" s="38" t="s">
        <v>321</v>
      </c>
      <c r="G127" s="38" t="s">
        <v>322</v>
      </c>
      <c r="H127" s="38">
        <v>5304103.7649999997</v>
      </c>
      <c r="I127" s="38">
        <v>1657859.956</v>
      </c>
      <c r="J127" s="38">
        <v>11.891</v>
      </c>
      <c r="K127" s="56" t="s">
        <v>11</v>
      </c>
      <c r="L127" s="38">
        <f t="shared" si="5"/>
        <v>0.3620000000000001</v>
      </c>
      <c r="M127" s="38">
        <v>1.8120000000000001</v>
      </c>
      <c r="N127" s="54">
        <f>SUM(L127:M127)-O$110-P$110</f>
        <v>0.81400000000000028</v>
      </c>
      <c r="O127" s="54"/>
      <c r="P127" s="54"/>
      <c r="Q127" s="54"/>
      <c r="R127" s="54"/>
      <c r="S127" s="54"/>
    </row>
    <row r="128" spans="1:19" x14ac:dyDescent="0.3">
      <c r="A128" s="38" t="s">
        <v>323</v>
      </c>
      <c r="B128" s="38" t="s">
        <v>202</v>
      </c>
      <c r="C128" s="38" t="s">
        <v>658</v>
      </c>
      <c r="D128" s="35">
        <v>42768</v>
      </c>
      <c r="E128" s="34"/>
      <c r="F128" s="38" t="s">
        <v>324</v>
      </c>
      <c r="G128" s="38" t="s">
        <v>325</v>
      </c>
      <c r="H128" s="38">
        <v>5304102.5080000004</v>
      </c>
      <c r="I128" s="38">
        <v>1657860.801</v>
      </c>
      <c r="J128" s="38">
        <v>11.914999999999999</v>
      </c>
      <c r="K128" s="56" t="s">
        <v>11</v>
      </c>
      <c r="L128" s="38">
        <f t="shared" si="5"/>
        <v>0.38599999999999923</v>
      </c>
      <c r="M128" s="38">
        <v>1.8120000000000001</v>
      </c>
      <c r="N128" s="54">
        <f>SUM(L128:M128)-O$110-P$110</f>
        <v>0.83799999999999941</v>
      </c>
      <c r="O128" s="54"/>
      <c r="P128" s="54"/>
      <c r="Q128" s="54"/>
      <c r="R128" s="54"/>
      <c r="S128" s="54"/>
    </row>
    <row r="129" spans="1:19" x14ac:dyDescent="0.3">
      <c r="A129" s="38" t="s">
        <v>198</v>
      </c>
      <c r="B129" s="38" t="s">
        <v>202</v>
      </c>
      <c r="C129" s="34" t="s">
        <v>659</v>
      </c>
      <c r="D129" s="35">
        <v>42774</v>
      </c>
      <c r="E129" s="34">
        <v>2000</v>
      </c>
      <c r="F129" s="38" t="s">
        <v>326</v>
      </c>
      <c r="G129" s="38" t="s">
        <v>327</v>
      </c>
      <c r="H129" s="38">
        <v>5304095.1390000004</v>
      </c>
      <c r="I129" s="38">
        <v>1657797.38</v>
      </c>
      <c r="J129" s="38">
        <v>11.106</v>
      </c>
      <c r="K129" s="38" t="s">
        <v>205</v>
      </c>
      <c r="L129" s="54"/>
      <c r="N129" s="54"/>
      <c r="O129" s="54"/>
      <c r="P129" s="54"/>
      <c r="Q129" s="54"/>
      <c r="R129" s="54"/>
      <c r="S129" s="54"/>
    </row>
    <row r="130" spans="1:19" x14ac:dyDescent="0.3">
      <c r="A130" s="38" t="s">
        <v>199</v>
      </c>
      <c r="B130" s="38" t="s">
        <v>202</v>
      </c>
      <c r="C130" s="34" t="s">
        <v>659</v>
      </c>
      <c r="D130" s="35">
        <v>42774</v>
      </c>
      <c r="F130" s="38" t="s">
        <v>328</v>
      </c>
      <c r="G130" s="38" t="s">
        <v>329</v>
      </c>
      <c r="H130" s="38">
        <v>5304095.4740000004</v>
      </c>
      <c r="I130" s="38">
        <v>1657796.959</v>
      </c>
      <c r="J130" s="38">
        <v>11.11</v>
      </c>
      <c r="K130" s="38" t="s">
        <v>205</v>
      </c>
      <c r="L130" s="54"/>
      <c r="N130" s="54"/>
      <c r="O130" s="54"/>
      <c r="P130" s="54"/>
      <c r="Q130" s="54"/>
      <c r="R130" s="54"/>
      <c r="S130" s="54"/>
    </row>
    <row r="131" spans="1:19" x14ac:dyDescent="0.3">
      <c r="A131" s="38" t="s">
        <v>200</v>
      </c>
      <c r="B131" s="38" t="s">
        <v>202</v>
      </c>
      <c r="C131" s="34" t="s">
        <v>659</v>
      </c>
      <c r="D131" s="35">
        <v>42774</v>
      </c>
      <c r="F131" s="38" t="s">
        <v>330</v>
      </c>
      <c r="G131" s="38" t="s">
        <v>331</v>
      </c>
      <c r="H131" s="38">
        <v>5304095.93</v>
      </c>
      <c r="I131" s="38">
        <v>1657796.8259999999</v>
      </c>
      <c r="J131" s="38">
        <v>11.055999999999999</v>
      </c>
      <c r="K131" s="38" t="s">
        <v>205</v>
      </c>
      <c r="N131" s="54"/>
      <c r="O131" s="54"/>
      <c r="P131" s="54"/>
      <c r="Q131" s="54"/>
      <c r="R131" s="54"/>
      <c r="S131" s="54"/>
    </row>
    <row r="132" spans="1:19" x14ac:dyDescent="0.3">
      <c r="C132" s="34" t="s">
        <v>659</v>
      </c>
      <c r="D132" s="35"/>
      <c r="J132" s="54">
        <f>AVERAGE(J129:J131)</f>
        <v>11.090666666666666</v>
      </c>
      <c r="L132" s="54"/>
      <c r="N132" s="54"/>
      <c r="O132" s="54"/>
      <c r="P132" s="54"/>
      <c r="Q132" s="54"/>
      <c r="R132" s="54"/>
      <c r="S132" s="54"/>
    </row>
    <row r="133" spans="1:19" x14ac:dyDescent="0.3">
      <c r="A133" s="38" t="s">
        <v>332</v>
      </c>
      <c r="B133" s="38" t="s">
        <v>202</v>
      </c>
      <c r="C133" s="34" t="s">
        <v>659</v>
      </c>
      <c r="D133" s="35">
        <v>42774</v>
      </c>
      <c r="F133" s="38" t="s">
        <v>333</v>
      </c>
      <c r="G133" s="38" t="s">
        <v>334</v>
      </c>
      <c r="H133" s="38">
        <v>5304094.5559999999</v>
      </c>
      <c r="I133" s="38">
        <v>1657795.3049999999</v>
      </c>
      <c r="J133" s="38">
        <v>12.298</v>
      </c>
      <c r="K133" s="56" t="s">
        <v>13</v>
      </c>
      <c r="L133" s="54">
        <f>SUM(J133-J$132)</f>
        <v>1.2073333333333345</v>
      </c>
      <c r="M133" s="38">
        <v>1.32</v>
      </c>
      <c r="N133" s="54">
        <f>SUM(L133:M133)-O$133-P$133</f>
        <v>1.0473333333333348</v>
      </c>
      <c r="O133" s="54">
        <v>1.1000000000000001</v>
      </c>
      <c r="P133" s="54">
        <v>0.38</v>
      </c>
      <c r="Q133" s="54">
        <f>AVERAGE(N133:N164)</f>
        <v>0.98055208333333466</v>
      </c>
      <c r="R133" s="53">
        <f>STDEVA(N133:N164)</f>
        <v>7.3314054620098046E-2</v>
      </c>
      <c r="S133" s="54"/>
    </row>
    <row r="134" spans="1:19" x14ac:dyDescent="0.3">
      <c r="A134" s="38" t="s">
        <v>335</v>
      </c>
      <c r="B134" s="38" t="s">
        <v>202</v>
      </c>
      <c r="C134" s="34" t="s">
        <v>659</v>
      </c>
      <c r="D134" s="35">
        <v>42774</v>
      </c>
      <c r="F134" s="38" t="s">
        <v>336</v>
      </c>
      <c r="G134" s="38" t="s">
        <v>337</v>
      </c>
      <c r="H134" s="38">
        <v>5304092.5410000002</v>
      </c>
      <c r="I134" s="38">
        <v>1657796.2849999999</v>
      </c>
      <c r="J134" s="38">
        <v>12.194000000000001</v>
      </c>
      <c r="K134" s="56" t="s">
        <v>13</v>
      </c>
      <c r="L134" s="54">
        <f t="shared" ref="L134:L164" si="6">SUM(J134-J$132)</f>
        <v>1.1033333333333353</v>
      </c>
      <c r="M134" s="38">
        <v>1.32</v>
      </c>
      <c r="N134" s="54">
        <f>SUM(L134:M134)-O$133-P$133</f>
        <v>0.94333333333333547</v>
      </c>
      <c r="O134" s="54"/>
      <c r="P134" s="54"/>
      <c r="Q134" s="54"/>
      <c r="R134" s="54"/>
      <c r="S134" s="54"/>
    </row>
    <row r="135" spans="1:19" x14ac:dyDescent="0.3">
      <c r="A135" s="38" t="s">
        <v>338</v>
      </c>
      <c r="B135" s="38" t="s">
        <v>202</v>
      </c>
      <c r="C135" s="34" t="s">
        <v>659</v>
      </c>
      <c r="D135" s="35">
        <v>42774</v>
      </c>
      <c r="F135" s="38" t="s">
        <v>339</v>
      </c>
      <c r="G135" s="38" t="s">
        <v>340</v>
      </c>
      <c r="H135" s="38">
        <v>5304092.1140000001</v>
      </c>
      <c r="I135" s="38">
        <v>1657798.1939999999</v>
      </c>
      <c r="J135" s="38">
        <v>12.035</v>
      </c>
      <c r="K135" s="56" t="s">
        <v>13</v>
      </c>
      <c r="L135" s="54">
        <f t="shared" si="6"/>
        <v>0.94433333333333458</v>
      </c>
      <c r="M135" s="38">
        <v>1.32</v>
      </c>
      <c r="N135" s="54">
        <f>SUM(L135:M135)-O$133-P$133</f>
        <v>0.78433333333333477</v>
      </c>
      <c r="O135" s="54"/>
      <c r="P135" s="54"/>
      <c r="Q135" s="54"/>
      <c r="R135" s="54"/>
      <c r="S135" s="54"/>
    </row>
    <row r="136" spans="1:19" x14ac:dyDescent="0.3">
      <c r="A136" s="38" t="s">
        <v>341</v>
      </c>
      <c r="B136" s="38" t="s">
        <v>202</v>
      </c>
      <c r="C136" s="34" t="s">
        <v>659</v>
      </c>
      <c r="D136" s="35">
        <v>42774</v>
      </c>
      <c r="F136" s="38" t="s">
        <v>342</v>
      </c>
      <c r="G136" s="38" t="s">
        <v>343</v>
      </c>
      <c r="H136" s="38">
        <v>5304092.4239999996</v>
      </c>
      <c r="I136" s="38">
        <v>1657800.977</v>
      </c>
      <c r="J136" s="38">
        <v>12.291</v>
      </c>
      <c r="K136" s="56" t="s">
        <v>13</v>
      </c>
      <c r="L136" s="54">
        <f t="shared" si="6"/>
        <v>1.2003333333333348</v>
      </c>
      <c r="M136" s="38">
        <v>1.32</v>
      </c>
      <c r="N136" s="54">
        <f>SUM(L136:M136)-O$133-P$133</f>
        <v>1.0403333333333351</v>
      </c>
      <c r="O136" s="54"/>
      <c r="P136" s="54"/>
      <c r="Q136" s="54"/>
      <c r="R136" s="54"/>
      <c r="S136" s="54"/>
    </row>
    <row r="137" spans="1:19" x14ac:dyDescent="0.3">
      <c r="A137" s="38" t="s">
        <v>344</v>
      </c>
      <c r="B137" s="38" t="s">
        <v>202</v>
      </c>
      <c r="C137" s="34" t="s">
        <v>659</v>
      </c>
      <c r="D137" s="35">
        <v>42774</v>
      </c>
      <c r="F137" s="38" t="s">
        <v>345</v>
      </c>
      <c r="G137" s="38" t="s">
        <v>346</v>
      </c>
      <c r="H137" s="38">
        <v>5304086.6739999996</v>
      </c>
      <c r="I137" s="38">
        <v>1657795.044</v>
      </c>
      <c r="J137" s="38">
        <v>12.254</v>
      </c>
      <c r="K137" s="56" t="s">
        <v>13</v>
      </c>
      <c r="L137" s="54">
        <f t="shared" si="6"/>
        <v>1.163333333333334</v>
      </c>
      <c r="M137" s="38">
        <v>1.32</v>
      </c>
      <c r="N137" s="54">
        <f>SUM(L137:M137)-O$133-P$133</f>
        <v>1.0033333333333343</v>
      </c>
      <c r="O137" s="54"/>
      <c r="P137" s="54"/>
      <c r="Q137" s="54"/>
      <c r="R137" s="54"/>
      <c r="S137" s="54"/>
    </row>
    <row r="138" spans="1:19" x14ac:dyDescent="0.3">
      <c r="A138" s="38" t="s">
        <v>347</v>
      </c>
      <c r="B138" s="38" t="s">
        <v>202</v>
      </c>
      <c r="C138" s="34" t="s">
        <v>659</v>
      </c>
      <c r="D138" s="35">
        <v>42774</v>
      </c>
      <c r="F138" s="38" t="s">
        <v>348</v>
      </c>
      <c r="G138" s="38" t="s">
        <v>349</v>
      </c>
      <c r="H138" s="38">
        <v>5304086.648</v>
      </c>
      <c r="I138" s="38">
        <v>1657795.4350000001</v>
      </c>
      <c r="J138" s="38">
        <v>12.243</v>
      </c>
      <c r="K138" s="56" t="s">
        <v>13</v>
      </c>
      <c r="L138" s="54">
        <f t="shared" si="6"/>
        <v>1.1523333333333348</v>
      </c>
      <c r="M138" s="38">
        <v>1.32</v>
      </c>
      <c r="N138" s="54">
        <f>SUM(L138:M138)-O$133-P$133</f>
        <v>0.99233333333333495</v>
      </c>
      <c r="O138" s="54"/>
      <c r="P138" s="54"/>
      <c r="Q138" s="54"/>
      <c r="R138" s="54"/>
      <c r="S138" s="54"/>
    </row>
    <row r="139" spans="1:19" x14ac:dyDescent="0.3">
      <c r="A139" s="38" t="s">
        <v>350</v>
      </c>
      <c r="B139" s="38" t="s">
        <v>202</v>
      </c>
      <c r="C139" s="34" t="s">
        <v>659</v>
      </c>
      <c r="D139" s="35">
        <v>42774</v>
      </c>
      <c r="F139" s="38" t="s">
        <v>348</v>
      </c>
      <c r="G139" s="38" t="s">
        <v>351</v>
      </c>
      <c r="H139" s="38">
        <v>5304086.6550000003</v>
      </c>
      <c r="I139" s="38">
        <v>1657794.5160000001</v>
      </c>
      <c r="J139" s="38">
        <v>12.305999999999999</v>
      </c>
      <c r="K139" s="56" t="s">
        <v>13</v>
      </c>
      <c r="L139" s="54">
        <f t="shared" si="6"/>
        <v>1.2153333333333336</v>
      </c>
      <c r="M139" s="38">
        <v>1.32</v>
      </c>
      <c r="N139" s="54">
        <f>SUM(L139:M139)-O$133-P$133</f>
        <v>1.0553333333333339</v>
      </c>
      <c r="O139" s="54"/>
      <c r="P139" s="54"/>
      <c r="Q139" s="54"/>
      <c r="R139" s="54"/>
      <c r="S139" s="54"/>
    </row>
    <row r="140" spans="1:19" x14ac:dyDescent="0.3">
      <c r="A140" s="38" t="s">
        <v>352</v>
      </c>
      <c r="B140" s="38" t="s">
        <v>202</v>
      </c>
      <c r="C140" s="34" t="s">
        <v>659</v>
      </c>
      <c r="D140" s="35">
        <v>42774</v>
      </c>
      <c r="F140" s="38" t="s">
        <v>353</v>
      </c>
      <c r="G140" s="38" t="s">
        <v>354</v>
      </c>
      <c r="H140" s="38">
        <v>5304087.6330000004</v>
      </c>
      <c r="I140" s="38">
        <v>1657795.21</v>
      </c>
      <c r="J140" s="38">
        <v>12.167</v>
      </c>
      <c r="K140" s="56" t="s">
        <v>13</v>
      </c>
      <c r="L140" s="54">
        <f t="shared" si="6"/>
        <v>1.0763333333333343</v>
      </c>
      <c r="M140" s="38">
        <v>1.32</v>
      </c>
      <c r="N140" s="54">
        <f>SUM(L140:M140)-O$133-P$133</f>
        <v>0.91633333333333444</v>
      </c>
      <c r="O140" s="54"/>
      <c r="P140" s="54"/>
      <c r="Q140" s="54"/>
      <c r="R140" s="54"/>
      <c r="S140" s="54"/>
    </row>
    <row r="141" spans="1:19" x14ac:dyDescent="0.3">
      <c r="A141" s="38" t="s">
        <v>355</v>
      </c>
      <c r="B141" s="38" t="s">
        <v>202</v>
      </c>
      <c r="C141" s="34" t="s">
        <v>659</v>
      </c>
      <c r="D141" s="35">
        <v>42774</v>
      </c>
      <c r="F141" s="38" t="s">
        <v>356</v>
      </c>
      <c r="G141" s="38" t="s">
        <v>357</v>
      </c>
      <c r="H141" s="38">
        <v>5304088.0619999999</v>
      </c>
      <c r="I141" s="38">
        <v>1657794.683</v>
      </c>
      <c r="J141" s="38">
        <v>12.24</v>
      </c>
      <c r="K141" s="56" t="s">
        <v>13</v>
      </c>
      <c r="L141" s="54">
        <f t="shared" si="6"/>
        <v>1.1493333333333347</v>
      </c>
      <c r="M141" s="38">
        <v>1.32</v>
      </c>
      <c r="N141" s="54">
        <f>SUM(L141:M141)-O$133-P$133</f>
        <v>0.98933333333333484</v>
      </c>
    </row>
    <row r="142" spans="1:19" x14ac:dyDescent="0.3">
      <c r="A142" s="38" t="s">
        <v>358</v>
      </c>
      <c r="B142" s="38" t="s">
        <v>202</v>
      </c>
      <c r="C142" s="34" t="s">
        <v>659</v>
      </c>
      <c r="D142" s="35">
        <v>42774</v>
      </c>
      <c r="F142" s="38" t="s">
        <v>359</v>
      </c>
      <c r="G142" s="38" t="s">
        <v>360</v>
      </c>
      <c r="H142" s="38">
        <v>5304088.2860000003</v>
      </c>
      <c r="I142" s="38">
        <v>1657792.825</v>
      </c>
      <c r="J142" s="38">
        <v>12.208</v>
      </c>
      <c r="K142" s="56" t="s">
        <v>13</v>
      </c>
      <c r="L142" s="54">
        <f t="shared" si="6"/>
        <v>1.1173333333333346</v>
      </c>
      <c r="M142" s="38">
        <v>1.32</v>
      </c>
      <c r="N142" s="54">
        <f>SUM(L142:M142)-O$133-P$133</f>
        <v>0.95733333333333481</v>
      </c>
    </row>
    <row r="143" spans="1:19" x14ac:dyDescent="0.3">
      <c r="A143" s="38" t="s">
        <v>361</v>
      </c>
      <c r="B143" s="38" t="s">
        <v>202</v>
      </c>
      <c r="C143" s="34" t="s">
        <v>659</v>
      </c>
      <c r="D143" s="35">
        <v>42774</v>
      </c>
      <c r="F143" s="38" t="s">
        <v>362</v>
      </c>
      <c r="G143" s="38" t="s">
        <v>363</v>
      </c>
      <c r="H143" s="38">
        <v>5304088.4929999998</v>
      </c>
      <c r="I143" s="38">
        <v>1657792.645</v>
      </c>
      <c r="J143" s="38">
        <v>12.207000000000001</v>
      </c>
      <c r="K143" s="56" t="s">
        <v>13</v>
      </c>
      <c r="L143" s="54">
        <f t="shared" si="6"/>
        <v>1.1163333333333352</v>
      </c>
      <c r="M143" s="38">
        <v>1.32</v>
      </c>
      <c r="N143" s="54">
        <f>SUM(L143:M143)-O$133-P$133</f>
        <v>0.95633333333333537</v>
      </c>
    </row>
    <row r="144" spans="1:19" x14ac:dyDescent="0.3">
      <c r="A144" s="38" t="s">
        <v>364</v>
      </c>
      <c r="B144" s="38" t="s">
        <v>202</v>
      </c>
      <c r="C144" s="34" t="s">
        <v>659</v>
      </c>
      <c r="D144" s="35">
        <v>42774</v>
      </c>
      <c r="F144" s="38" t="s">
        <v>365</v>
      </c>
      <c r="G144" s="38" t="s">
        <v>366</v>
      </c>
      <c r="H144" s="38">
        <v>5304098.62</v>
      </c>
      <c r="I144" s="38">
        <v>1657797.4809999999</v>
      </c>
      <c r="J144" s="38">
        <v>12.039</v>
      </c>
      <c r="K144" s="56" t="s">
        <v>13</v>
      </c>
      <c r="L144" s="54">
        <f t="shared" si="6"/>
        <v>0.94833333333333414</v>
      </c>
      <c r="M144" s="38">
        <v>1.32</v>
      </c>
      <c r="N144" s="54">
        <f>SUM(L144:M144)-O$133-P$133</f>
        <v>0.78833333333333433</v>
      </c>
    </row>
    <row r="145" spans="1:18" x14ac:dyDescent="0.3">
      <c r="A145" s="38" t="s">
        <v>367</v>
      </c>
      <c r="B145" s="38" t="s">
        <v>202</v>
      </c>
      <c r="C145" s="34" t="s">
        <v>659</v>
      </c>
      <c r="D145" s="35">
        <v>42774</v>
      </c>
      <c r="F145" s="38" t="s">
        <v>368</v>
      </c>
      <c r="G145" s="38" t="s">
        <v>369</v>
      </c>
      <c r="H145" s="38">
        <v>5304098.2309999997</v>
      </c>
      <c r="I145" s="38">
        <v>1657798.0390000001</v>
      </c>
      <c r="J145" s="38">
        <v>12.254</v>
      </c>
      <c r="K145" s="56" t="s">
        <v>13</v>
      </c>
      <c r="L145" s="54">
        <f t="shared" si="6"/>
        <v>1.163333333333334</v>
      </c>
      <c r="M145" s="38">
        <v>1.32</v>
      </c>
      <c r="N145" s="54">
        <f>SUM(L145:M145)-O$133-P$133</f>
        <v>1.0033333333333343</v>
      </c>
    </row>
    <row r="146" spans="1:18" x14ac:dyDescent="0.3">
      <c r="A146" s="38" t="s">
        <v>370</v>
      </c>
      <c r="B146" s="38" t="s">
        <v>202</v>
      </c>
      <c r="C146" s="34" t="s">
        <v>659</v>
      </c>
      <c r="D146" s="35">
        <v>42774</v>
      </c>
      <c r="F146" s="38" t="s">
        <v>371</v>
      </c>
      <c r="G146" s="38" t="s">
        <v>372</v>
      </c>
      <c r="H146" s="38">
        <v>5304097.9510000004</v>
      </c>
      <c r="I146" s="38">
        <v>1657798.11</v>
      </c>
      <c r="J146" s="38">
        <v>12.218999999999999</v>
      </c>
      <c r="K146" s="56" t="s">
        <v>13</v>
      </c>
      <c r="L146" s="54">
        <f t="shared" si="6"/>
        <v>1.1283333333333339</v>
      </c>
      <c r="M146" s="38">
        <v>1.32</v>
      </c>
      <c r="N146" s="54">
        <f>SUM(L146:M146)-O$133-P$133</f>
        <v>0.96833333333333405</v>
      </c>
    </row>
    <row r="147" spans="1:18" x14ac:dyDescent="0.3">
      <c r="A147" s="38" t="s">
        <v>373</v>
      </c>
      <c r="B147" s="38" t="s">
        <v>202</v>
      </c>
      <c r="C147" s="34" t="s">
        <v>659</v>
      </c>
      <c r="D147" s="35">
        <v>42774</v>
      </c>
      <c r="F147" s="38" t="s">
        <v>374</v>
      </c>
      <c r="G147" s="38" t="s">
        <v>375</v>
      </c>
      <c r="H147" s="38">
        <v>5304115.585</v>
      </c>
      <c r="I147" s="38">
        <v>1657837.68</v>
      </c>
      <c r="J147" s="38">
        <v>12.317</v>
      </c>
      <c r="K147" s="56" t="s">
        <v>13</v>
      </c>
      <c r="L147" s="54">
        <f t="shared" si="6"/>
        <v>1.2263333333333346</v>
      </c>
      <c r="M147" s="38">
        <v>1.32</v>
      </c>
      <c r="N147" s="54">
        <f>SUM(L147:M147)-O$133-P$133</f>
        <v>1.0663333333333349</v>
      </c>
    </row>
    <row r="148" spans="1:18" x14ac:dyDescent="0.3">
      <c r="A148" s="38" t="s">
        <v>376</v>
      </c>
      <c r="B148" s="38" t="s">
        <v>202</v>
      </c>
      <c r="C148" s="34" t="s">
        <v>659</v>
      </c>
      <c r="D148" s="35">
        <v>42774</v>
      </c>
      <c r="F148" s="38" t="s">
        <v>377</v>
      </c>
      <c r="G148" s="38" t="s">
        <v>378</v>
      </c>
      <c r="H148" s="38">
        <v>5304114.7910000002</v>
      </c>
      <c r="I148" s="38">
        <v>1657837.0989999999</v>
      </c>
      <c r="J148" s="38">
        <v>12.298999999999999</v>
      </c>
      <c r="K148" s="56" t="s">
        <v>13</v>
      </c>
      <c r="L148" s="54">
        <f t="shared" si="6"/>
        <v>1.2083333333333339</v>
      </c>
      <c r="M148" s="38">
        <v>1.32</v>
      </c>
      <c r="N148" s="54">
        <f>SUM(L148:M148)-O$133-P$133</f>
        <v>1.0483333333333342</v>
      </c>
    </row>
    <row r="149" spans="1:18" x14ac:dyDescent="0.3">
      <c r="A149" s="38" t="s">
        <v>379</v>
      </c>
      <c r="B149" s="38" t="s">
        <v>202</v>
      </c>
      <c r="C149" s="34" t="s">
        <v>659</v>
      </c>
      <c r="D149" s="35">
        <v>42774</v>
      </c>
      <c r="F149" s="38" t="s">
        <v>380</v>
      </c>
      <c r="G149" s="38" t="s">
        <v>381</v>
      </c>
      <c r="H149" s="38">
        <v>5304114.0449999999</v>
      </c>
      <c r="I149" s="38">
        <v>1657838.3130000001</v>
      </c>
      <c r="J149" s="38">
        <v>12.254</v>
      </c>
      <c r="K149" s="56" t="s">
        <v>13</v>
      </c>
      <c r="L149" s="54">
        <f t="shared" si="6"/>
        <v>1.163333333333334</v>
      </c>
      <c r="M149" s="38">
        <v>1.32</v>
      </c>
      <c r="N149" s="54">
        <f>SUM(L149:M149)-O$133-P$133</f>
        <v>1.0033333333333343</v>
      </c>
    </row>
    <row r="150" spans="1:18" x14ac:dyDescent="0.3">
      <c r="A150" s="38" t="s">
        <v>382</v>
      </c>
      <c r="B150" s="38" t="s">
        <v>202</v>
      </c>
      <c r="C150" s="34" t="s">
        <v>659</v>
      </c>
      <c r="D150" s="35">
        <v>42774</v>
      </c>
      <c r="F150" s="38" t="s">
        <v>383</v>
      </c>
      <c r="G150" s="38" t="s">
        <v>384</v>
      </c>
      <c r="H150" s="38">
        <v>5304113.6550000003</v>
      </c>
      <c r="I150" s="38">
        <v>1657839.581</v>
      </c>
      <c r="J150" s="38">
        <v>12.292</v>
      </c>
      <c r="K150" s="56" t="s">
        <v>13</v>
      </c>
      <c r="L150" s="54">
        <f t="shared" si="6"/>
        <v>1.2013333333333343</v>
      </c>
      <c r="M150" s="38">
        <v>1.32</v>
      </c>
      <c r="N150" s="54">
        <f>SUM(L150:M150)-O$133-P$133</f>
        <v>1.0413333333333346</v>
      </c>
    </row>
    <row r="151" spans="1:18" x14ac:dyDescent="0.3">
      <c r="A151" s="38" t="s">
        <v>385</v>
      </c>
      <c r="B151" s="38" t="s">
        <v>202</v>
      </c>
      <c r="C151" s="34" t="s">
        <v>659</v>
      </c>
      <c r="D151" s="35">
        <v>42774</v>
      </c>
      <c r="F151" s="38" t="s">
        <v>386</v>
      </c>
      <c r="G151" s="38" t="s">
        <v>387</v>
      </c>
      <c r="H151" s="38">
        <v>5304113.6890000002</v>
      </c>
      <c r="I151" s="38">
        <v>1657841.3359999999</v>
      </c>
      <c r="J151" s="38">
        <v>12.266</v>
      </c>
      <c r="K151" s="56" t="s">
        <v>13</v>
      </c>
      <c r="L151" s="54">
        <f t="shared" si="6"/>
        <v>1.1753333333333345</v>
      </c>
      <c r="M151" s="38">
        <v>1.32</v>
      </c>
      <c r="N151" s="54">
        <f>SUM(L151:M151)-O$133-P$133</f>
        <v>1.0153333333333348</v>
      </c>
    </row>
    <row r="152" spans="1:18" x14ac:dyDescent="0.3">
      <c r="A152" s="38" t="s">
        <v>388</v>
      </c>
      <c r="B152" s="38" t="s">
        <v>202</v>
      </c>
      <c r="C152" s="34" t="s">
        <v>659</v>
      </c>
      <c r="D152" s="35">
        <v>42774</v>
      </c>
      <c r="F152" s="38" t="s">
        <v>389</v>
      </c>
      <c r="G152" s="38" t="s">
        <v>390</v>
      </c>
      <c r="H152" s="38">
        <v>5304111.4879999999</v>
      </c>
      <c r="I152" s="38">
        <v>1657843.3640000001</v>
      </c>
      <c r="J152" s="38">
        <v>12.241</v>
      </c>
      <c r="K152" s="56" t="s">
        <v>13</v>
      </c>
      <c r="L152" s="54">
        <f t="shared" si="6"/>
        <v>1.1503333333333341</v>
      </c>
      <c r="M152" s="38">
        <v>1.32</v>
      </c>
      <c r="N152" s="54">
        <f>SUM(L152:M152)-O$133-P$133</f>
        <v>0.99033333333333429</v>
      </c>
      <c r="Q152" s="55"/>
      <c r="R152" s="55"/>
    </row>
    <row r="153" spans="1:18" x14ac:dyDescent="0.3">
      <c r="A153" s="38" t="s">
        <v>391</v>
      </c>
      <c r="B153" s="38" t="s">
        <v>202</v>
      </c>
      <c r="C153" s="34" t="s">
        <v>659</v>
      </c>
      <c r="D153" s="35">
        <v>42774</v>
      </c>
      <c r="F153" s="38" t="s">
        <v>392</v>
      </c>
      <c r="G153" s="38" t="s">
        <v>393</v>
      </c>
      <c r="H153" s="38">
        <v>5304111.1330000004</v>
      </c>
      <c r="I153" s="38">
        <v>1657845.2609999999</v>
      </c>
      <c r="J153" s="38">
        <v>12.247999999999999</v>
      </c>
      <c r="K153" s="56" t="s">
        <v>13</v>
      </c>
      <c r="L153" s="54">
        <f t="shared" si="6"/>
        <v>1.1573333333333338</v>
      </c>
      <c r="M153" s="38">
        <v>1.32</v>
      </c>
      <c r="N153" s="54">
        <f>SUM(L153:M153)-O$133-P$133</f>
        <v>0.99733333333333396</v>
      </c>
      <c r="Q153" s="55"/>
    </row>
    <row r="154" spans="1:18" x14ac:dyDescent="0.3">
      <c r="A154" s="38" t="s">
        <v>394</v>
      </c>
      <c r="B154" s="38" t="s">
        <v>202</v>
      </c>
      <c r="C154" s="34" t="s">
        <v>659</v>
      </c>
      <c r="D154" s="35">
        <v>42774</v>
      </c>
      <c r="F154" s="38" t="s">
        <v>395</v>
      </c>
      <c r="G154" s="38" t="s">
        <v>396</v>
      </c>
      <c r="H154" s="38">
        <v>5304114.0539999995</v>
      </c>
      <c r="I154" s="38">
        <v>1657845.14</v>
      </c>
      <c r="J154" s="38">
        <v>12.205</v>
      </c>
      <c r="K154" s="56" t="s">
        <v>13</v>
      </c>
      <c r="L154" s="54">
        <f t="shared" si="6"/>
        <v>1.1143333333333345</v>
      </c>
      <c r="M154" s="38">
        <v>1.32</v>
      </c>
      <c r="N154" s="54">
        <f>SUM(L154:M154)-O$133-P$133</f>
        <v>0.9543333333333347</v>
      </c>
      <c r="Q154" s="55"/>
    </row>
    <row r="155" spans="1:18" x14ac:dyDescent="0.3">
      <c r="A155" s="38" t="s">
        <v>397</v>
      </c>
      <c r="B155" s="38" t="s">
        <v>202</v>
      </c>
      <c r="C155" s="34" t="s">
        <v>659</v>
      </c>
      <c r="D155" s="35">
        <v>42774</v>
      </c>
      <c r="F155" s="38" t="s">
        <v>398</v>
      </c>
      <c r="G155" s="38" t="s">
        <v>399</v>
      </c>
      <c r="H155" s="38">
        <v>5304120.57</v>
      </c>
      <c r="I155" s="38">
        <v>1657856.33</v>
      </c>
      <c r="J155" s="38">
        <v>12.27</v>
      </c>
      <c r="K155" s="56" t="s">
        <v>13</v>
      </c>
      <c r="L155" s="54">
        <f t="shared" si="6"/>
        <v>1.179333333333334</v>
      </c>
      <c r="M155" s="38">
        <v>1.32</v>
      </c>
      <c r="N155" s="54">
        <f>SUM(L155:M155)-O$133-P$133</f>
        <v>1.0193333333333343</v>
      </c>
      <c r="Q155" s="55"/>
    </row>
    <row r="156" spans="1:18" x14ac:dyDescent="0.3">
      <c r="A156" s="38" t="s">
        <v>400</v>
      </c>
      <c r="B156" s="38" t="s">
        <v>202</v>
      </c>
      <c r="C156" s="34" t="s">
        <v>659</v>
      </c>
      <c r="D156" s="35">
        <v>42774</v>
      </c>
      <c r="F156" s="38" t="s">
        <v>401</v>
      </c>
      <c r="G156" s="38" t="s">
        <v>402</v>
      </c>
      <c r="H156" s="38">
        <v>5304123.227</v>
      </c>
      <c r="I156" s="38">
        <v>1657859.2930000001</v>
      </c>
      <c r="J156" s="38">
        <v>12.212</v>
      </c>
      <c r="K156" s="56" t="s">
        <v>13</v>
      </c>
      <c r="L156" s="54">
        <f t="shared" si="6"/>
        <v>1.1213333333333342</v>
      </c>
      <c r="M156" s="38">
        <v>1.32</v>
      </c>
      <c r="N156" s="54">
        <f>SUM(L156:M156)-O$133-P$133</f>
        <v>0.96133333333333437</v>
      </c>
      <c r="Q156" s="55"/>
    </row>
    <row r="157" spans="1:18" x14ac:dyDescent="0.3">
      <c r="A157" s="38" t="s">
        <v>403</v>
      </c>
      <c r="B157" s="38" t="s">
        <v>202</v>
      </c>
      <c r="C157" s="34" t="s">
        <v>659</v>
      </c>
      <c r="D157" s="35">
        <v>42774</v>
      </c>
      <c r="F157" s="38" t="s">
        <v>404</v>
      </c>
      <c r="G157" s="38" t="s">
        <v>405</v>
      </c>
      <c r="H157" s="38">
        <v>5304123.3899999997</v>
      </c>
      <c r="I157" s="38">
        <v>1657860.017</v>
      </c>
      <c r="J157" s="38">
        <v>12.228999999999999</v>
      </c>
      <c r="K157" s="56" t="s">
        <v>13</v>
      </c>
      <c r="L157" s="54">
        <f t="shared" si="6"/>
        <v>1.1383333333333336</v>
      </c>
      <c r="M157" s="38">
        <v>1.32</v>
      </c>
      <c r="N157" s="54">
        <f>SUM(L157:M157)-O$133-P$133</f>
        <v>0.97833333333333383</v>
      </c>
      <c r="Q157" s="55"/>
    </row>
    <row r="158" spans="1:18" x14ac:dyDescent="0.3">
      <c r="A158" s="38" t="s">
        <v>406</v>
      </c>
      <c r="B158" s="38" t="s">
        <v>202</v>
      </c>
      <c r="C158" s="34" t="s">
        <v>659</v>
      </c>
      <c r="D158" s="35">
        <v>42774</v>
      </c>
      <c r="F158" s="38" t="s">
        <v>407</v>
      </c>
      <c r="G158" s="38" t="s">
        <v>408</v>
      </c>
      <c r="H158" s="38">
        <v>5304123.5489999996</v>
      </c>
      <c r="I158" s="38">
        <v>1657856.6969999999</v>
      </c>
      <c r="J158" s="38">
        <v>12.22</v>
      </c>
      <c r="K158" s="56" t="s">
        <v>13</v>
      </c>
      <c r="L158" s="54">
        <f t="shared" si="6"/>
        <v>1.1293333333333351</v>
      </c>
      <c r="M158" s="38">
        <v>1.32</v>
      </c>
      <c r="N158" s="54">
        <f>SUM(L158:M158)-O$133-P$133</f>
        <v>0.96933333333333527</v>
      </c>
      <c r="Q158" s="55"/>
    </row>
    <row r="159" spans="1:18" x14ac:dyDescent="0.3">
      <c r="A159" s="38" t="s">
        <v>409</v>
      </c>
      <c r="B159" s="38" t="s">
        <v>202</v>
      </c>
      <c r="C159" s="34" t="s">
        <v>659</v>
      </c>
      <c r="D159" s="35">
        <v>42774</v>
      </c>
      <c r="F159" s="38" t="s">
        <v>410</v>
      </c>
      <c r="G159" s="38" t="s">
        <v>411</v>
      </c>
      <c r="H159" s="38">
        <v>5304125.2510000002</v>
      </c>
      <c r="I159" s="38">
        <v>1657856.2819999999</v>
      </c>
      <c r="J159" s="38">
        <v>12.2</v>
      </c>
      <c r="K159" s="56" t="s">
        <v>13</v>
      </c>
      <c r="L159" s="54">
        <f t="shared" si="6"/>
        <v>1.1093333333333337</v>
      </c>
      <c r="M159" s="38">
        <v>1.32</v>
      </c>
      <c r="N159" s="54">
        <f>SUM(L159:M159)-O$133-P$133</f>
        <v>0.94933333333333392</v>
      </c>
      <c r="Q159" s="55"/>
    </row>
    <row r="160" spans="1:18" x14ac:dyDescent="0.3">
      <c r="A160" s="38" t="s">
        <v>412</v>
      </c>
      <c r="B160" s="38" t="s">
        <v>202</v>
      </c>
      <c r="C160" s="34" t="s">
        <v>659</v>
      </c>
      <c r="D160" s="35">
        <v>42774</v>
      </c>
      <c r="F160" s="38" t="s">
        <v>413</v>
      </c>
      <c r="G160" s="38" t="s">
        <v>414</v>
      </c>
      <c r="H160" s="38">
        <v>5304125.9050000003</v>
      </c>
      <c r="I160" s="38">
        <v>1657858.1910000001</v>
      </c>
      <c r="J160" s="38">
        <v>12.08</v>
      </c>
      <c r="K160" s="56" t="s">
        <v>13</v>
      </c>
      <c r="L160" s="54">
        <f t="shared" si="6"/>
        <v>0.98933333333333451</v>
      </c>
      <c r="M160" s="38">
        <v>1.32</v>
      </c>
      <c r="N160" s="54">
        <f>SUM(L160:M160)-O$133-P$133</f>
        <v>0.8293333333333347</v>
      </c>
      <c r="Q160" s="55"/>
    </row>
    <row r="161" spans="1:18" x14ac:dyDescent="0.3">
      <c r="A161" s="38" t="s">
        <v>415</v>
      </c>
      <c r="B161" s="38" t="s">
        <v>202</v>
      </c>
      <c r="C161" s="34" t="s">
        <v>659</v>
      </c>
      <c r="D161" s="35">
        <v>42774</v>
      </c>
      <c r="F161" s="38" t="s">
        <v>416</v>
      </c>
      <c r="G161" s="38" t="s">
        <v>417</v>
      </c>
      <c r="H161" s="38">
        <v>5304127.4550000001</v>
      </c>
      <c r="I161" s="38">
        <v>1657856.9909999999</v>
      </c>
      <c r="J161" s="38">
        <v>12.180999999999999</v>
      </c>
      <c r="K161" s="56" t="s">
        <v>13</v>
      </c>
      <c r="L161" s="54">
        <f t="shared" si="6"/>
        <v>1.0903333333333336</v>
      </c>
      <c r="M161" s="38">
        <v>1.32</v>
      </c>
      <c r="N161" s="54">
        <f>SUM(L161:M161)-O$133-P$133</f>
        <v>0.93033333333333379</v>
      </c>
      <c r="Q161" s="55"/>
    </row>
    <row r="162" spans="1:18" x14ac:dyDescent="0.3">
      <c r="A162" s="38" t="s">
        <v>418</v>
      </c>
      <c r="B162" s="38" t="s">
        <v>202</v>
      </c>
      <c r="C162" s="34" t="s">
        <v>659</v>
      </c>
      <c r="D162" s="35">
        <v>42774</v>
      </c>
      <c r="E162" s="38">
        <v>2019</v>
      </c>
      <c r="F162" s="38" t="s">
        <v>419</v>
      </c>
      <c r="G162" s="38" t="s">
        <v>420</v>
      </c>
      <c r="H162" s="38">
        <v>5304129.6390000004</v>
      </c>
      <c r="I162" s="38">
        <v>1657858.034</v>
      </c>
      <c r="J162" s="38">
        <v>12.259</v>
      </c>
      <c r="K162" s="56" t="s">
        <v>13</v>
      </c>
      <c r="L162" s="54">
        <f t="shared" si="6"/>
        <v>1.1683333333333348</v>
      </c>
      <c r="M162" s="38">
        <v>1.32</v>
      </c>
      <c r="N162" s="54">
        <f>SUM(L162:M162)-O$133-P$133</f>
        <v>1.0083333333333351</v>
      </c>
      <c r="Q162" s="55"/>
    </row>
    <row r="163" spans="1:18" x14ac:dyDescent="0.3">
      <c r="A163" s="38" t="s">
        <v>421</v>
      </c>
      <c r="B163" s="38" t="s">
        <v>202</v>
      </c>
      <c r="C163" s="34" t="s">
        <v>659</v>
      </c>
      <c r="D163" s="35">
        <v>42774</v>
      </c>
      <c r="F163" s="38" t="s">
        <v>422</v>
      </c>
      <c r="G163" s="38" t="s">
        <v>423</v>
      </c>
      <c r="H163" s="38">
        <v>5304194.2759999996</v>
      </c>
      <c r="I163" s="38">
        <v>1657918.0090000001</v>
      </c>
      <c r="J163" s="38">
        <v>12.345000000000001</v>
      </c>
      <c r="K163" s="56" t="s">
        <v>13</v>
      </c>
      <c r="L163" s="54">
        <f t="shared" si="6"/>
        <v>1.2543333333333351</v>
      </c>
      <c r="M163" s="38">
        <v>1.32</v>
      </c>
      <c r="N163" s="54">
        <f>SUM(L163:M163)-O$133-P$133</f>
        <v>1.0943333333333354</v>
      </c>
      <c r="Q163" s="55"/>
    </row>
    <row r="164" spans="1:18" x14ac:dyDescent="0.3">
      <c r="A164" s="38" t="s">
        <v>424</v>
      </c>
      <c r="B164" s="38" t="s">
        <v>202</v>
      </c>
      <c r="C164" s="34" t="s">
        <v>659</v>
      </c>
      <c r="D164" s="35">
        <v>42774</v>
      </c>
      <c r="F164" s="38" t="s">
        <v>425</v>
      </c>
      <c r="G164" s="38" t="s">
        <v>426</v>
      </c>
      <c r="H164" s="38">
        <v>5304195.9009999996</v>
      </c>
      <c r="I164" s="38">
        <v>1657917.287</v>
      </c>
      <c r="J164" s="38">
        <v>12.326000000000001</v>
      </c>
      <c r="K164" s="56" t="s">
        <v>13</v>
      </c>
      <c r="L164" s="54">
        <f t="shared" si="6"/>
        <v>1.2353333333333349</v>
      </c>
      <c r="M164" s="38">
        <v>1.32</v>
      </c>
      <c r="N164" s="54">
        <f>SUM(L164:M164)-O$133-P$133</f>
        <v>1.0753333333333353</v>
      </c>
      <c r="Q164" s="55"/>
    </row>
    <row r="167" spans="1:18" x14ac:dyDescent="0.3">
      <c r="A167" s="38" t="s">
        <v>647</v>
      </c>
      <c r="D167" s="51">
        <v>42775</v>
      </c>
      <c r="E167" s="38" t="s">
        <v>648</v>
      </c>
      <c r="F167" s="38" t="s">
        <v>585</v>
      </c>
      <c r="G167" s="38" t="s">
        <v>586</v>
      </c>
      <c r="H167" s="38">
        <v>5302639.1169999996</v>
      </c>
      <c r="I167" s="38">
        <v>1656057.1259999999</v>
      </c>
      <c r="J167" s="38">
        <v>11.66</v>
      </c>
    </row>
    <row r="168" spans="1:18" x14ac:dyDescent="0.3">
      <c r="A168" s="38" t="s">
        <v>587</v>
      </c>
      <c r="B168" s="38" t="s">
        <v>650</v>
      </c>
      <c r="C168" s="34" t="s">
        <v>659</v>
      </c>
      <c r="D168" s="51">
        <v>42775</v>
      </c>
      <c r="F168" s="38" t="s">
        <v>588</v>
      </c>
      <c r="G168" s="38" t="s">
        <v>589</v>
      </c>
      <c r="H168" s="38">
        <v>5302631.8459999999</v>
      </c>
      <c r="I168" s="38">
        <v>1656058.203</v>
      </c>
      <c r="J168" s="38">
        <v>11.638999999999999</v>
      </c>
      <c r="K168" s="56" t="s">
        <v>651</v>
      </c>
      <c r="L168" s="54">
        <f>SUM(J168-J$167)</f>
        <v>-2.1000000000000796E-2</v>
      </c>
      <c r="M168" s="38">
        <v>1.9470000000000001</v>
      </c>
      <c r="N168" s="54">
        <f>SUM(L168:M168)-O$168-P$168</f>
        <v>0.56599999999999917</v>
      </c>
      <c r="O168" s="38">
        <v>1.1000000000000001</v>
      </c>
      <c r="P168" s="38">
        <v>0.26</v>
      </c>
      <c r="Q168" s="54">
        <f>AVERAGE(N168:N187)</f>
        <v>0.74384999999999957</v>
      </c>
      <c r="R168" s="53">
        <f>STDEVA(N168:N187)</f>
        <v>0.11907329675456339</v>
      </c>
    </row>
    <row r="169" spans="1:18" x14ac:dyDescent="0.3">
      <c r="A169" s="38" t="s">
        <v>590</v>
      </c>
      <c r="B169" s="38" t="s">
        <v>650</v>
      </c>
      <c r="C169" s="34" t="s">
        <v>659</v>
      </c>
      <c r="D169" s="51">
        <v>42775</v>
      </c>
      <c r="F169" s="38" t="s">
        <v>591</v>
      </c>
      <c r="G169" s="38" t="s">
        <v>592</v>
      </c>
      <c r="H169" s="38">
        <v>5302633.1310000001</v>
      </c>
      <c r="I169" s="38">
        <v>1656056.9509999999</v>
      </c>
      <c r="J169" s="38">
        <v>11.664</v>
      </c>
      <c r="K169" s="56" t="s">
        <v>651</v>
      </c>
      <c r="L169" s="54">
        <f t="shared" ref="L169:L187" si="7">SUM(J169-J$167)</f>
        <v>3.9999999999995595E-3</v>
      </c>
      <c r="M169" s="38">
        <v>1.9470000000000001</v>
      </c>
      <c r="N169" s="54">
        <f>SUM(L169:M169)-O$168-P$168</f>
        <v>0.59099999999999953</v>
      </c>
    </row>
    <row r="170" spans="1:18" x14ac:dyDescent="0.3">
      <c r="A170" s="38" t="s">
        <v>593</v>
      </c>
      <c r="B170" s="38" t="s">
        <v>650</v>
      </c>
      <c r="C170" s="34" t="s">
        <v>659</v>
      </c>
      <c r="D170" s="51">
        <v>42775</v>
      </c>
      <c r="F170" s="38" t="s">
        <v>594</v>
      </c>
      <c r="G170" s="38" t="s">
        <v>595</v>
      </c>
      <c r="H170" s="38">
        <v>5302633.9189999998</v>
      </c>
      <c r="I170" s="38">
        <v>1656057.7290000001</v>
      </c>
      <c r="J170" s="38">
        <v>11.688000000000001</v>
      </c>
      <c r="K170" s="56" t="s">
        <v>651</v>
      </c>
      <c r="L170" s="54">
        <f t="shared" si="7"/>
        <v>2.8000000000000469E-2</v>
      </c>
      <c r="M170" s="38">
        <v>1.9470000000000001</v>
      </c>
      <c r="N170" s="54">
        <f>SUM(L170:M170)-O$168-P$168</f>
        <v>0.61500000000000044</v>
      </c>
    </row>
    <row r="171" spans="1:18" x14ac:dyDescent="0.3">
      <c r="A171" s="38" t="s">
        <v>596</v>
      </c>
      <c r="B171" s="38" t="s">
        <v>650</v>
      </c>
      <c r="C171" s="34" t="s">
        <v>659</v>
      </c>
      <c r="D171" s="51">
        <v>42775</v>
      </c>
      <c r="F171" s="38" t="s">
        <v>597</v>
      </c>
      <c r="G171" s="38" t="s">
        <v>598</v>
      </c>
      <c r="H171" s="38">
        <v>5302634.0269999998</v>
      </c>
      <c r="I171" s="38">
        <v>1656063.4709999999</v>
      </c>
      <c r="J171" s="38">
        <v>11.718</v>
      </c>
      <c r="K171" s="56" t="s">
        <v>651</v>
      </c>
      <c r="L171" s="54">
        <f t="shared" si="7"/>
        <v>5.7999999999999829E-2</v>
      </c>
      <c r="M171" s="38">
        <v>1.9470000000000001</v>
      </c>
      <c r="N171" s="54">
        <f>SUM(L171:M171)-O$168-P$168</f>
        <v>0.6449999999999998</v>
      </c>
    </row>
    <row r="172" spans="1:18" x14ac:dyDescent="0.3">
      <c r="A172" s="38" t="s">
        <v>599</v>
      </c>
      <c r="B172" s="38" t="s">
        <v>650</v>
      </c>
      <c r="C172" s="34" t="s">
        <v>659</v>
      </c>
      <c r="D172" s="51">
        <v>42775</v>
      </c>
      <c r="F172" s="38" t="s">
        <v>600</v>
      </c>
      <c r="G172" s="38" t="s">
        <v>601</v>
      </c>
      <c r="H172" s="38">
        <v>5302632.2939999998</v>
      </c>
      <c r="I172" s="38">
        <v>1656062.709</v>
      </c>
      <c r="J172" s="38">
        <v>11.619</v>
      </c>
      <c r="K172" s="56" t="s">
        <v>651</v>
      </c>
      <c r="L172" s="54">
        <f t="shared" si="7"/>
        <v>-4.1000000000000369E-2</v>
      </c>
      <c r="M172" s="38">
        <v>1.9470000000000001</v>
      </c>
      <c r="N172" s="54">
        <f>SUM(L172:M172)-O$168-P$168</f>
        <v>0.5459999999999996</v>
      </c>
    </row>
    <row r="173" spans="1:18" x14ac:dyDescent="0.3">
      <c r="A173" s="38" t="s">
        <v>602</v>
      </c>
      <c r="B173" s="38" t="s">
        <v>650</v>
      </c>
      <c r="C173" s="34" t="s">
        <v>659</v>
      </c>
      <c r="D173" s="51">
        <v>42775</v>
      </c>
      <c r="F173" s="38" t="s">
        <v>603</v>
      </c>
      <c r="G173" s="38" t="s">
        <v>604</v>
      </c>
      <c r="H173" s="38">
        <v>5302662.7390000001</v>
      </c>
      <c r="I173" s="38">
        <v>1656027.0360000001</v>
      </c>
      <c r="J173" s="38">
        <v>11.69</v>
      </c>
      <c r="K173" s="56" t="s">
        <v>651</v>
      </c>
      <c r="L173" s="54">
        <f t="shared" si="7"/>
        <v>2.9999999999999361E-2</v>
      </c>
      <c r="M173" s="38">
        <v>1.9470000000000001</v>
      </c>
      <c r="N173" s="54">
        <f>SUM(L173:M173)-O$168-P$168</f>
        <v>0.61699999999999933</v>
      </c>
    </row>
    <row r="174" spans="1:18" x14ac:dyDescent="0.3">
      <c r="A174" s="38" t="s">
        <v>605</v>
      </c>
      <c r="B174" s="38" t="s">
        <v>650</v>
      </c>
      <c r="C174" s="34" t="s">
        <v>659</v>
      </c>
      <c r="D174" s="51">
        <v>42775</v>
      </c>
      <c r="F174" s="38" t="s">
        <v>606</v>
      </c>
      <c r="G174" s="38" t="s">
        <v>607</v>
      </c>
      <c r="H174" s="38">
        <v>5302661.4289999995</v>
      </c>
      <c r="I174" s="38">
        <v>1656026.38</v>
      </c>
      <c r="J174" s="38">
        <v>11.707000000000001</v>
      </c>
      <c r="K174" s="56" t="s">
        <v>651</v>
      </c>
      <c r="L174" s="54">
        <f t="shared" si="7"/>
        <v>4.7000000000000597E-2</v>
      </c>
      <c r="M174" s="38">
        <v>1.9470000000000001</v>
      </c>
      <c r="N174" s="54">
        <f>SUM(L174:M174)-O$168-P$168</f>
        <v>0.63400000000000056</v>
      </c>
    </row>
    <row r="175" spans="1:18" x14ac:dyDescent="0.3">
      <c r="A175" s="38" t="s">
        <v>608</v>
      </c>
      <c r="B175" s="38" t="s">
        <v>650</v>
      </c>
      <c r="C175" s="34" t="s">
        <v>659</v>
      </c>
      <c r="D175" s="51">
        <v>42775</v>
      </c>
      <c r="F175" s="38" t="s">
        <v>609</v>
      </c>
      <c r="G175" s="38" t="s">
        <v>610</v>
      </c>
      <c r="H175" s="38">
        <v>5302667.1059999997</v>
      </c>
      <c r="I175" s="38">
        <v>1656023.091</v>
      </c>
      <c r="J175" s="38">
        <v>11.872</v>
      </c>
      <c r="K175" s="56" t="s">
        <v>651</v>
      </c>
      <c r="L175" s="54">
        <f t="shared" si="7"/>
        <v>0.21199999999999974</v>
      </c>
      <c r="M175" s="38">
        <v>1.9470000000000001</v>
      </c>
      <c r="N175" s="54">
        <f>SUM(L175:M175)-O$168-P$168</f>
        <v>0.79899999999999971</v>
      </c>
    </row>
    <row r="176" spans="1:18" x14ac:dyDescent="0.3">
      <c r="A176" s="38" t="s">
        <v>611</v>
      </c>
      <c r="B176" s="38" t="s">
        <v>650</v>
      </c>
      <c r="C176" s="34" t="s">
        <v>659</v>
      </c>
      <c r="D176" s="51">
        <v>42775</v>
      </c>
      <c r="F176" s="38" t="s">
        <v>612</v>
      </c>
      <c r="G176" s="38" t="s">
        <v>613</v>
      </c>
      <c r="H176" s="38">
        <v>5302665.57</v>
      </c>
      <c r="I176" s="38">
        <v>1656021.3319999999</v>
      </c>
      <c r="J176" s="38">
        <v>11.898999999999999</v>
      </c>
      <c r="K176" s="56" t="s">
        <v>651</v>
      </c>
      <c r="L176" s="54">
        <f t="shared" si="7"/>
        <v>0.23899999999999899</v>
      </c>
      <c r="M176" s="38">
        <v>1.9470000000000001</v>
      </c>
      <c r="N176" s="54">
        <f>SUM(L176:M176)-O$168-P$168</f>
        <v>0.82599999999999896</v>
      </c>
    </row>
    <row r="177" spans="1:14" x14ac:dyDescent="0.3">
      <c r="A177" s="38" t="s">
        <v>614</v>
      </c>
      <c r="B177" s="38" t="s">
        <v>650</v>
      </c>
      <c r="C177" s="34" t="s">
        <v>659</v>
      </c>
      <c r="D177" s="51">
        <v>42775</v>
      </c>
      <c r="F177" s="38" t="s">
        <v>615</v>
      </c>
      <c r="G177" s="38" t="s">
        <v>616</v>
      </c>
      <c r="H177" s="38">
        <v>5302665.8839999996</v>
      </c>
      <c r="I177" s="38">
        <v>1656021.139</v>
      </c>
      <c r="J177" s="38">
        <v>11.881</v>
      </c>
      <c r="K177" s="56" t="s">
        <v>651</v>
      </c>
      <c r="L177" s="54">
        <f t="shared" si="7"/>
        <v>0.22100000000000009</v>
      </c>
      <c r="M177" s="38">
        <v>1.9470000000000001</v>
      </c>
      <c r="N177" s="54">
        <f>SUM(L177:M177)-O$168-P$168</f>
        <v>0.80800000000000005</v>
      </c>
    </row>
    <row r="178" spans="1:14" x14ac:dyDescent="0.3">
      <c r="A178" s="38" t="s">
        <v>617</v>
      </c>
      <c r="B178" s="38" t="s">
        <v>650</v>
      </c>
      <c r="C178" s="34" t="s">
        <v>659</v>
      </c>
      <c r="D178" s="51">
        <v>42775</v>
      </c>
      <c r="F178" s="38" t="s">
        <v>618</v>
      </c>
      <c r="G178" s="38" t="s">
        <v>619</v>
      </c>
      <c r="H178" s="38">
        <v>5302672.6430000002</v>
      </c>
      <c r="I178" s="38">
        <v>1656014.4820000001</v>
      </c>
      <c r="J178" s="38">
        <v>11.833</v>
      </c>
      <c r="K178" s="56" t="s">
        <v>651</v>
      </c>
      <c r="L178" s="54">
        <f t="shared" si="7"/>
        <v>0.17300000000000004</v>
      </c>
      <c r="M178" s="38">
        <v>1.9470000000000001</v>
      </c>
      <c r="N178" s="54">
        <f>SUM(L178:M178)-O$168-P$168</f>
        <v>0.76</v>
      </c>
    </row>
    <row r="179" spans="1:14" x14ac:dyDescent="0.3">
      <c r="A179" s="38" t="s">
        <v>620</v>
      </c>
      <c r="B179" s="38" t="s">
        <v>650</v>
      </c>
      <c r="C179" s="34" t="s">
        <v>659</v>
      </c>
      <c r="D179" s="51">
        <v>42775</v>
      </c>
      <c r="F179" s="38" t="s">
        <v>621</v>
      </c>
      <c r="G179" s="38" t="s">
        <v>622</v>
      </c>
      <c r="H179" s="38">
        <v>5302672.9380000001</v>
      </c>
      <c r="I179" s="38">
        <v>1656015.5589999999</v>
      </c>
      <c r="J179" s="38">
        <v>11.851000000000001</v>
      </c>
      <c r="K179" s="56" t="s">
        <v>651</v>
      </c>
      <c r="L179" s="54">
        <f t="shared" si="7"/>
        <v>0.19100000000000072</v>
      </c>
      <c r="M179" s="38">
        <v>1.9470000000000001</v>
      </c>
      <c r="N179" s="54">
        <f>SUM(L179:M179)-O$168-P$168</f>
        <v>0.77800000000000069</v>
      </c>
    </row>
    <row r="180" spans="1:14" x14ac:dyDescent="0.3">
      <c r="A180" s="38" t="s">
        <v>623</v>
      </c>
      <c r="B180" s="38" t="s">
        <v>650</v>
      </c>
      <c r="C180" s="34" t="s">
        <v>659</v>
      </c>
      <c r="D180" s="51">
        <v>42775</v>
      </c>
      <c r="F180" s="38" t="s">
        <v>624</v>
      </c>
      <c r="G180" s="38" t="s">
        <v>625</v>
      </c>
      <c r="H180" s="38">
        <v>5302670.6710000001</v>
      </c>
      <c r="I180" s="38">
        <v>1656013.3540000001</v>
      </c>
      <c r="J180" s="38">
        <v>11.842000000000001</v>
      </c>
      <c r="K180" s="56" t="s">
        <v>651</v>
      </c>
      <c r="L180" s="54">
        <f t="shared" si="7"/>
        <v>0.18200000000000038</v>
      </c>
      <c r="M180" s="38">
        <v>1.9470000000000001</v>
      </c>
      <c r="N180" s="54">
        <f>SUM(L180:M180)-O$168-P$168</f>
        <v>0.76900000000000035</v>
      </c>
    </row>
    <row r="181" spans="1:14" x14ac:dyDescent="0.3">
      <c r="A181" s="38" t="s">
        <v>626</v>
      </c>
      <c r="B181" s="38" t="s">
        <v>650</v>
      </c>
      <c r="C181" s="34" t="s">
        <v>659</v>
      </c>
      <c r="D181" s="51">
        <v>42775</v>
      </c>
      <c r="F181" s="38" t="s">
        <v>627</v>
      </c>
      <c r="G181" s="38" t="s">
        <v>628</v>
      </c>
      <c r="H181" s="38">
        <v>5302669.307</v>
      </c>
      <c r="I181" s="38">
        <v>1656010.8929999999</v>
      </c>
      <c r="J181" s="38">
        <v>11.853999999999999</v>
      </c>
      <c r="K181" s="56" t="s">
        <v>651</v>
      </c>
      <c r="L181" s="54">
        <f t="shared" si="7"/>
        <v>0.19399999999999906</v>
      </c>
      <c r="M181" s="38">
        <v>1.9470000000000001</v>
      </c>
      <c r="N181" s="54">
        <f>SUM(L181:M181)-O$168-P$168</f>
        <v>0.78099999999999903</v>
      </c>
    </row>
    <row r="182" spans="1:14" x14ac:dyDescent="0.3">
      <c r="A182" s="38" t="s">
        <v>629</v>
      </c>
      <c r="B182" s="38" t="s">
        <v>650</v>
      </c>
      <c r="C182" s="34" t="s">
        <v>659</v>
      </c>
      <c r="D182" s="51">
        <v>42775</v>
      </c>
      <c r="F182" s="38" t="s">
        <v>630</v>
      </c>
      <c r="G182" s="38" t="s">
        <v>631</v>
      </c>
      <c r="H182" s="38">
        <v>5302670.4119999995</v>
      </c>
      <c r="I182" s="38">
        <v>1656010.7590000001</v>
      </c>
      <c r="J182" s="38">
        <v>11.882999999999999</v>
      </c>
      <c r="K182" s="56" t="s">
        <v>651</v>
      </c>
      <c r="L182" s="54">
        <f t="shared" si="7"/>
        <v>0.22299999999999898</v>
      </c>
      <c r="M182" s="38">
        <v>1.9470000000000001</v>
      </c>
      <c r="N182" s="54">
        <f>SUM(L182:M182)-O$168-P$168</f>
        <v>0.80999999999999894</v>
      </c>
    </row>
    <row r="183" spans="1:14" x14ac:dyDescent="0.3">
      <c r="A183" s="38" t="s">
        <v>632</v>
      </c>
      <c r="B183" s="38" t="s">
        <v>650</v>
      </c>
      <c r="C183" s="34" t="s">
        <v>659</v>
      </c>
      <c r="D183" s="51">
        <v>42775</v>
      </c>
      <c r="F183" s="38" t="s">
        <v>633</v>
      </c>
      <c r="G183" s="38" t="s">
        <v>634</v>
      </c>
      <c r="H183" s="38">
        <v>5302669.3499999996</v>
      </c>
      <c r="I183" s="38">
        <v>1656010.128</v>
      </c>
      <c r="J183" s="38">
        <v>11.906000000000001</v>
      </c>
      <c r="K183" s="56" t="s">
        <v>651</v>
      </c>
      <c r="L183" s="54">
        <f t="shared" si="7"/>
        <v>0.24600000000000044</v>
      </c>
      <c r="M183" s="38">
        <v>1.9470000000000001</v>
      </c>
      <c r="N183" s="54">
        <f>SUM(L183:M183)-O$168-P$168</f>
        <v>0.83300000000000041</v>
      </c>
    </row>
    <row r="184" spans="1:14" x14ac:dyDescent="0.3">
      <c r="A184" s="38" t="s">
        <v>635</v>
      </c>
      <c r="B184" s="38" t="s">
        <v>650</v>
      </c>
      <c r="C184" s="34" t="s">
        <v>659</v>
      </c>
      <c r="D184" s="51">
        <v>42775</v>
      </c>
      <c r="F184" s="38" t="s">
        <v>636</v>
      </c>
      <c r="G184" s="38" t="s">
        <v>637</v>
      </c>
      <c r="H184" s="38">
        <v>5302671.415</v>
      </c>
      <c r="I184" s="38">
        <v>1656005.1780000001</v>
      </c>
      <c r="J184" s="38">
        <v>12.058</v>
      </c>
      <c r="K184" s="56" t="s">
        <v>651</v>
      </c>
      <c r="L184" s="54">
        <f t="shared" si="7"/>
        <v>0.39799999999999969</v>
      </c>
      <c r="M184" s="38">
        <v>1.9470000000000001</v>
      </c>
      <c r="N184" s="54">
        <f>SUM(L184:M184)-O$168-P$168</f>
        <v>0.98499999999999965</v>
      </c>
    </row>
    <row r="185" spans="1:14" x14ac:dyDescent="0.3">
      <c r="A185" s="38" t="s">
        <v>638</v>
      </c>
      <c r="B185" s="38" t="s">
        <v>650</v>
      </c>
      <c r="C185" s="34" t="s">
        <v>659</v>
      </c>
      <c r="D185" s="51">
        <v>42775</v>
      </c>
      <c r="F185" s="38" t="s">
        <v>639</v>
      </c>
      <c r="G185" s="38" t="s">
        <v>640</v>
      </c>
      <c r="H185" s="38">
        <v>5302671.5</v>
      </c>
      <c r="I185" s="38">
        <v>1656006.1510000001</v>
      </c>
      <c r="J185" s="38">
        <v>11.975</v>
      </c>
      <c r="K185" s="56" t="s">
        <v>651</v>
      </c>
      <c r="L185" s="54">
        <f t="shared" si="7"/>
        <v>0.3149999999999995</v>
      </c>
      <c r="M185" s="38">
        <v>1.9470000000000001</v>
      </c>
      <c r="N185" s="54">
        <f>SUM(L185:M185)-O$168-P$168</f>
        <v>0.90199999999999947</v>
      </c>
    </row>
    <row r="186" spans="1:14" x14ac:dyDescent="0.3">
      <c r="A186" s="38" t="s">
        <v>641</v>
      </c>
      <c r="B186" s="38" t="s">
        <v>650</v>
      </c>
      <c r="C186" s="34" t="s">
        <v>659</v>
      </c>
      <c r="D186" s="51">
        <v>42775</v>
      </c>
      <c r="F186" s="38" t="s">
        <v>642</v>
      </c>
      <c r="G186" s="38" t="s">
        <v>643</v>
      </c>
      <c r="H186" s="38">
        <v>5302671.0010000002</v>
      </c>
      <c r="I186" s="38">
        <v>1656003.4469999999</v>
      </c>
      <c r="J186" s="38">
        <v>11.87</v>
      </c>
      <c r="K186" s="56" t="s">
        <v>651</v>
      </c>
      <c r="L186" s="54">
        <f t="shared" si="7"/>
        <v>0.20999999999999908</v>
      </c>
      <c r="M186" s="38">
        <v>1.9470000000000001</v>
      </c>
      <c r="N186" s="54">
        <f>SUM(L186:M186)-O$168-P$168</f>
        <v>0.79699999999999904</v>
      </c>
    </row>
    <row r="187" spans="1:14" x14ac:dyDescent="0.3">
      <c r="A187" s="38" t="s">
        <v>644</v>
      </c>
      <c r="B187" s="38" t="s">
        <v>650</v>
      </c>
      <c r="C187" s="34" t="s">
        <v>659</v>
      </c>
      <c r="D187" s="51">
        <v>42775</v>
      </c>
      <c r="E187" s="38" t="s">
        <v>649</v>
      </c>
      <c r="F187" s="38" t="s">
        <v>645</v>
      </c>
      <c r="G187" s="38" t="s">
        <v>646</v>
      </c>
      <c r="H187" s="38">
        <v>5302672.9850000003</v>
      </c>
      <c r="I187" s="38">
        <v>1655996.4890000001</v>
      </c>
      <c r="J187" s="38">
        <v>11.888</v>
      </c>
      <c r="K187" s="56" t="s">
        <v>651</v>
      </c>
      <c r="L187" s="54">
        <f t="shared" si="7"/>
        <v>0.22799999999999976</v>
      </c>
      <c r="M187" s="38">
        <v>1.9470000000000001</v>
      </c>
      <c r="N187" s="54">
        <f>SUM(L187:M187)-O$168-P$168</f>
        <v>0.81499999999999972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8"/>
  <sheetViews>
    <sheetView zoomScaleNormal="100" workbookViewId="0">
      <pane xSplit="2" ySplit="1" topLeftCell="I2" activePane="bottomRight" state="frozen"/>
      <selection pane="topRight" activeCell="C1" sqref="C1"/>
      <selection pane="bottomLeft" activeCell="A4" sqref="A4"/>
      <selection pane="bottomRight" activeCell="T16" sqref="T16:T17"/>
    </sheetView>
  </sheetViews>
  <sheetFormatPr defaultRowHeight="14.4" x14ac:dyDescent="0.3"/>
  <cols>
    <col min="1" max="1" width="8.88671875" style="57"/>
    <col min="2" max="2" width="25.109375" style="57" customWidth="1"/>
    <col min="3" max="3" width="12.6640625" style="38" customWidth="1"/>
    <col min="4" max="4" width="8.88671875" style="57"/>
    <col min="5" max="5" width="8.88671875" style="64"/>
    <col min="6" max="8" width="8.88671875" style="57"/>
    <col min="9" max="9" width="12.109375" style="57" customWidth="1"/>
    <col min="10" max="13" width="8.88671875" style="57"/>
    <col min="14" max="15" width="9.5546875" style="57" bestFit="1" customWidth="1"/>
    <col min="16" max="19" width="8.88671875" style="57"/>
    <col min="20" max="20" width="11.33203125" style="57" customWidth="1"/>
    <col min="21" max="16384" width="8.88671875" style="57"/>
  </cols>
  <sheetData>
    <row r="1" spans="1:22" s="38" customFormat="1" ht="15.6" x14ac:dyDescent="0.35">
      <c r="A1" s="50" t="s">
        <v>0</v>
      </c>
      <c r="B1" s="50" t="s">
        <v>1</v>
      </c>
      <c r="C1" s="50" t="s">
        <v>2</v>
      </c>
      <c r="D1" s="50" t="s">
        <v>3</v>
      </c>
      <c r="E1" s="50" t="s">
        <v>4</v>
      </c>
      <c r="F1" s="50" t="s">
        <v>7</v>
      </c>
      <c r="G1" s="50" t="s">
        <v>8</v>
      </c>
      <c r="H1" s="50" t="s">
        <v>660</v>
      </c>
      <c r="I1" s="50" t="s">
        <v>9</v>
      </c>
      <c r="J1" s="50" t="s">
        <v>445</v>
      </c>
      <c r="K1" s="50" t="s">
        <v>438</v>
      </c>
      <c r="L1" s="50" t="s">
        <v>670</v>
      </c>
      <c r="M1" s="50" t="s">
        <v>678</v>
      </c>
      <c r="N1" s="50" t="s">
        <v>504</v>
      </c>
      <c r="O1" s="50" t="s">
        <v>498</v>
      </c>
      <c r="Q1" s="50"/>
      <c r="U1" s="54"/>
    </row>
    <row r="3" spans="1:22" x14ac:dyDescent="0.3">
      <c r="A3" s="57" t="s">
        <v>513</v>
      </c>
      <c r="B3" s="57" t="s">
        <v>505</v>
      </c>
      <c r="C3" s="38" t="s">
        <v>658</v>
      </c>
      <c r="D3" s="58">
        <v>42767</v>
      </c>
      <c r="E3" s="64">
        <v>1248</v>
      </c>
      <c r="F3" s="57">
        <v>5295524.7300000004</v>
      </c>
      <c r="G3" s="57">
        <v>1643011.6780000001</v>
      </c>
      <c r="H3" s="57">
        <v>12.275</v>
      </c>
      <c r="I3" s="57" t="s">
        <v>427</v>
      </c>
    </row>
    <row r="4" spans="1:22" x14ac:dyDescent="0.3">
      <c r="A4" s="57" t="s">
        <v>514</v>
      </c>
      <c r="B4" s="57" t="s">
        <v>505</v>
      </c>
      <c r="C4" s="38" t="s">
        <v>658</v>
      </c>
      <c r="D4" s="58">
        <v>42767</v>
      </c>
      <c r="F4" s="57">
        <v>5295524.2769999998</v>
      </c>
      <c r="G4" s="57">
        <v>1643019.9380000001</v>
      </c>
      <c r="H4" s="57">
        <v>13.228</v>
      </c>
      <c r="I4" s="67" t="s">
        <v>11</v>
      </c>
      <c r="J4" s="59">
        <f>SUM(H4-H$3)</f>
        <v>0.9529999999999994</v>
      </c>
      <c r="K4" s="59">
        <v>0.69699999999999995</v>
      </c>
      <c r="L4" s="59">
        <f>SUM(J4:K4)-0.1</f>
        <v>1.5499999999999994</v>
      </c>
      <c r="M4" s="57">
        <v>0.1</v>
      </c>
      <c r="N4" s="59">
        <f>AVERAGE(L4:L26)</f>
        <v>1.7950869565217393</v>
      </c>
      <c r="O4" s="59">
        <f>STDEVA(L4:L26)</f>
        <v>0.12693230588262341</v>
      </c>
    </row>
    <row r="5" spans="1:22" x14ac:dyDescent="0.3">
      <c r="A5" s="57" t="s">
        <v>515</v>
      </c>
      <c r="B5" s="57" t="s">
        <v>505</v>
      </c>
      <c r="C5" s="38" t="s">
        <v>658</v>
      </c>
      <c r="D5" s="58">
        <v>42767</v>
      </c>
      <c r="F5" s="57">
        <v>5295524.6540000001</v>
      </c>
      <c r="G5" s="57">
        <v>1643019.827</v>
      </c>
      <c r="H5" s="57">
        <v>13.254</v>
      </c>
      <c r="I5" s="67" t="s">
        <v>11</v>
      </c>
      <c r="J5" s="59">
        <f t="shared" ref="J5:J26" si="0">SUM(H5-H$3)</f>
        <v>0.9789999999999992</v>
      </c>
      <c r="K5" s="59">
        <v>0.69699999999999995</v>
      </c>
      <c r="L5" s="59">
        <f t="shared" ref="L5:L26" si="1">SUM(J5:K5)-0.1</f>
        <v>1.5759999999999992</v>
      </c>
    </row>
    <row r="6" spans="1:22" x14ac:dyDescent="0.3">
      <c r="A6" s="57" t="s">
        <v>516</v>
      </c>
      <c r="B6" s="57" t="s">
        <v>505</v>
      </c>
      <c r="C6" s="38" t="s">
        <v>658</v>
      </c>
      <c r="D6" s="58">
        <v>42767</v>
      </c>
      <c r="F6" s="57">
        <v>5295523.3310000002</v>
      </c>
      <c r="G6" s="57">
        <v>1643019.76</v>
      </c>
      <c r="H6" s="57">
        <v>13.552</v>
      </c>
      <c r="I6" s="67" t="s">
        <v>11</v>
      </c>
      <c r="J6" s="59">
        <f t="shared" si="0"/>
        <v>1.2769999999999992</v>
      </c>
      <c r="K6" s="59">
        <v>0.69699999999999995</v>
      </c>
      <c r="L6" s="59">
        <f t="shared" si="1"/>
        <v>1.8739999999999992</v>
      </c>
    </row>
    <row r="7" spans="1:22" x14ac:dyDescent="0.3">
      <c r="A7" s="57" t="s">
        <v>517</v>
      </c>
      <c r="B7" s="57" t="s">
        <v>505</v>
      </c>
      <c r="C7" s="38" t="s">
        <v>658</v>
      </c>
      <c r="D7" s="58">
        <v>42767</v>
      </c>
      <c r="F7" s="57">
        <v>5295525.3310000002</v>
      </c>
      <c r="G7" s="57">
        <v>1643023.432</v>
      </c>
      <c r="H7" s="57">
        <v>13.476000000000001</v>
      </c>
      <c r="I7" s="67" t="s">
        <v>11</v>
      </c>
      <c r="J7" s="59">
        <f t="shared" si="0"/>
        <v>1.2010000000000005</v>
      </c>
      <c r="K7" s="59">
        <v>0.69699999999999995</v>
      </c>
      <c r="L7" s="59">
        <f t="shared" si="1"/>
        <v>1.7980000000000005</v>
      </c>
    </row>
    <row r="8" spans="1:22" x14ac:dyDescent="0.3">
      <c r="A8" s="57" t="s">
        <v>518</v>
      </c>
      <c r="B8" s="57" t="s">
        <v>505</v>
      </c>
      <c r="C8" s="38" t="s">
        <v>658</v>
      </c>
      <c r="D8" s="58">
        <v>42767</v>
      </c>
      <c r="F8" s="57">
        <v>5295525.1430000002</v>
      </c>
      <c r="G8" s="57">
        <v>1643024.2220000001</v>
      </c>
      <c r="H8" s="57">
        <v>13.676</v>
      </c>
      <c r="I8" s="67" t="s">
        <v>11</v>
      </c>
      <c r="J8" s="59">
        <f t="shared" si="0"/>
        <v>1.4009999999999998</v>
      </c>
      <c r="K8" s="59">
        <v>0.69699999999999995</v>
      </c>
      <c r="L8" s="59">
        <f t="shared" si="1"/>
        <v>1.9979999999999998</v>
      </c>
    </row>
    <row r="9" spans="1:22" x14ac:dyDescent="0.3">
      <c r="A9" s="57" t="s">
        <v>519</v>
      </c>
      <c r="B9" s="57" t="s">
        <v>505</v>
      </c>
      <c r="C9" s="38" t="s">
        <v>658</v>
      </c>
      <c r="D9" s="58">
        <v>42767</v>
      </c>
      <c r="F9" s="57">
        <v>5295525.5039999997</v>
      </c>
      <c r="G9" s="57">
        <v>1643024.074</v>
      </c>
      <c r="H9" s="57">
        <v>13.445</v>
      </c>
      <c r="I9" s="67" t="s">
        <v>11</v>
      </c>
      <c r="J9" s="59">
        <f t="shared" si="0"/>
        <v>1.17</v>
      </c>
      <c r="K9" s="59">
        <v>0.69699999999999995</v>
      </c>
      <c r="L9" s="59">
        <f t="shared" si="1"/>
        <v>1.7669999999999999</v>
      </c>
      <c r="P9" s="57" t="s">
        <v>428</v>
      </c>
      <c r="Q9" s="57" t="s">
        <v>429</v>
      </c>
      <c r="R9" s="57" t="s">
        <v>430</v>
      </c>
      <c r="T9" s="57" t="s">
        <v>431</v>
      </c>
      <c r="U9" s="57" t="s">
        <v>681</v>
      </c>
      <c r="V9" s="57" t="s">
        <v>432</v>
      </c>
    </row>
    <row r="10" spans="1:22" x14ac:dyDescent="0.3">
      <c r="A10" s="57" t="s">
        <v>520</v>
      </c>
      <c r="B10" s="57" t="s">
        <v>505</v>
      </c>
      <c r="C10" s="38" t="s">
        <v>658</v>
      </c>
      <c r="D10" s="58">
        <v>42767</v>
      </c>
      <c r="F10" s="57">
        <v>5295526.2510000002</v>
      </c>
      <c r="G10" s="57">
        <v>1643019.9809999999</v>
      </c>
      <c r="H10" s="57">
        <v>13.323</v>
      </c>
      <c r="I10" s="67" t="s">
        <v>11</v>
      </c>
      <c r="J10" s="59">
        <f t="shared" si="0"/>
        <v>1.048</v>
      </c>
      <c r="K10" s="59">
        <v>0.69699999999999995</v>
      </c>
      <c r="L10" s="59">
        <f t="shared" si="1"/>
        <v>1.645</v>
      </c>
      <c r="P10" s="57">
        <v>8</v>
      </c>
      <c r="Q10" s="57">
        <v>46</v>
      </c>
      <c r="R10" s="57">
        <f>SUM(Q10/60)+P10</f>
        <v>8.7666666666666675</v>
      </c>
      <c r="S10" s="57" t="s">
        <v>433</v>
      </c>
      <c r="T10" s="57">
        <f>SUM(R12-R10)/(R11-R10)</f>
        <v>0.64021164021164034</v>
      </c>
      <c r="U10" s="57">
        <f>SUM(T10+1)</f>
        <v>1.6402116402116405</v>
      </c>
      <c r="V10" s="57">
        <f>SUM(U10*PI())</f>
        <v>5.1528768392213546</v>
      </c>
    </row>
    <row r="11" spans="1:22" x14ac:dyDescent="0.3">
      <c r="A11" s="57" t="s">
        <v>521</v>
      </c>
      <c r="B11" s="57" t="s">
        <v>505</v>
      </c>
      <c r="C11" s="38" t="s">
        <v>658</v>
      </c>
      <c r="D11" s="58">
        <v>42767</v>
      </c>
      <c r="F11" s="57">
        <v>5295526.4950000001</v>
      </c>
      <c r="G11" s="57">
        <v>1643019.7819999999</v>
      </c>
      <c r="H11" s="57">
        <v>13.342000000000001</v>
      </c>
      <c r="I11" s="67" t="s">
        <v>11</v>
      </c>
      <c r="J11" s="59">
        <f t="shared" si="0"/>
        <v>1.0670000000000002</v>
      </c>
      <c r="K11" s="59">
        <v>0.69699999999999995</v>
      </c>
      <c r="L11" s="59">
        <f t="shared" si="1"/>
        <v>1.6640000000000001</v>
      </c>
      <c r="P11" s="57">
        <v>15</v>
      </c>
      <c r="Q11" s="57">
        <v>4</v>
      </c>
      <c r="R11" s="57">
        <f>SUM(Q11/60)+P11</f>
        <v>15.066666666666666</v>
      </c>
      <c r="S11" s="57" t="s">
        <v>434</v>
      </c>
    </row>
    <row r="12" spans="1:22" x14ac:dyDescent="0.3">
      <c r="A12" s="57" t="s">
        <v>522</v>
      </c>
      <c r="B12" s="57" t="s">
        <v>505</v>
      </c>
      <c r="C12" s="38" t="s">
        <v>658</v>
      </c>
      <c r="D12" s="58">
        <v>42767</v>
      </c>
      <c r="F12" s="57">
        <v>5295522.5219999999</v>
      </c>
      <c r="G12" s="57">
        <v>1643003.655</v>
      </c>
      <c r="H12" s="57">
        <v>13.467000000000001</v>
      </c>
      <c r="I12" s="67" t="s">
        <v>11</v>
      </c>
      <c r="J12" s="59">
        <f t="shared" si="0"/>
        <v>1.1920000000000002</v>
      </c>
      <c r="K12" s="59">
        <v>0.69699999999999995</v>
      </c>
      <c r="L12" s="59">
        <f t="shared" si="1"/>
        <v>1.7890000000000001</v>
      </c>
      <c r="P12" s="57">
        <v>12</v>
      </c>
      <c r="Q12" s="57">
        <v>48</v>
      </c>
      <c r="R12" s="57">
        <f>SUM(Q12/60)+P12</f>
        <v>12.8</v>
      </c>
      <c r="S12" s="57" t="s">
        <v>435</v>
      </c>
    </row>
    <row r="13" spans="1:22" x14ac:dyDescent="0.3">
      <c r="A13" s="57" t="s">
        <v>523</v>
      </c>
      <c r="B13" s="57" t="s">
        <v>505</v>
      </c>
      <c r="C13" s="38" t="s">
        <v>658</v>
      </c>
      <c r="D13" s="58">
        <v>42767</v>
      </c>
      <c r="F13" s="57">
        <v>5295522.9519999996</v>
      </c>
      <c r="G13" s="57">
        <v>1643003.43</v>
      </c>
      <c r="H13" s="57">
        <v>13.42</v>
      </c>
      <c r="I13" s="67" t="s">
        <v>11</v>
      </c>
      <c r="J13" s="59">
        <f t="shared" si="0"/>
        <v>1.1449999999999996</v>
      </c>
      <c r="K13" s="59">
        <v>0.69699999999999995</v>
      </c>
      <c r="L13" s="59">
        <f t="shared" si="1"/>
        <v>1.7419999999999995</v>
      </c>
      <c r="M13" s="59"/>
    </row>
    <row r="14" spans="1:22" x14ac:dyDescent="0.3">
      <c r="A14" s="57" t="s">
        <v>524</v>
      </c>
      <c r="B14" s="57" t="s">
        <v>505</v>
      </c>
      <c r="C14" s="38" t="s">
        <v>658</v>
      </c>
      <c r="D14" s="58">
        <v>42767</v>
      </c>
      <c r="F14" s="57">
        <v>5295519.5130000003</v>
      </c>
      <c r="G14" s="57">
        <v>1643006.169</v>
      </c>
      <c r="H14" s="57">
        <v>13.781000000000001</v>
      </c>
      <c r="I14" s="67" t="s">
        <v>11</v>
      </c>
      <c r="J14" s="59">
        <f t="shared" si="0"/>
        <v>1.5060000000000002</v>
      </c>
      <c r="K14" s="59">
        <v>0.69699999999999995</v>
      </c>
      <c r="L14" s="59">
        <f t="shared" si="1"/>
        <v>2.1030000000000002</v>
      </c>
    </row>
    <row r="15" spans="1:22" x14ac:dyDescent="0.3">
      <c r="A15" s="57" t="s">
        <v>525</v>
      </c>
      <c r="B15" s="57" t="s">
        <v>505</v>
      </c>
      <c r="C15" s="38" t="s">
        <v>658</v>
      </c>
      <c r="D15" s="58">
        <v>42767</v>
      </c>
      <c r="F15" s="57">
        <v>5295510.7649999997</v>
      </c>
      <c r="G15" s="57">
        <v>1642989.39</v>
      </c>
      <c r="H15" s="57">
        <v>13.532999999999999</v>
      </c>
      <c r="I15" s="67" t="s">
        <v>11</v>
      </c>
      <c r="J15" s="59">
        <f t="shared" si="0"/>
        <v>1.2579999999999991</v>
      </c>
      <c r="K15" s="59">
        <v>0.69699999999999995</v>
      </c>
      <c r="L15" s="59">
        <f t="shared" si="1"/>
        <v>1.8549999999999991</v>
      </c>
    </row>
    <row r="16" spans="1:22" x14ac:dyDescent="0.3">
      <c r="A16" s="57" t="s">
        <v>526</v>
      </c>
      <c r="B16" s="57" t="s">
        <v>505</v>
      </c>
      <c r="C16" s="38" t="s">
        <v>658</v>
      </c>
      <c r="D16" s="58">
        <v>42767</v>
      </c>
      <c r="F16" s="57">
        <v>5295502.9950000001</v>
      </c>
      <c r="G16" s="57">
        <v>1642976.605</v>
      </c>
      <c r="H16" s="57">
        <v>13.419</v>
      </c>
      <c r="I16" s="67" t="s">
        <v>11</v>
      </c>
      <c r="J16" s="59">
        <f t="shared" si="0"/>
        <v>1.1440000000000001</v>
      </c>
      <c r="K16" s="59">
        <v>0.69699999999999995</v>
      </c>
      <c r="L16" s="59">
        <f t="shared" si="1"/>
        <v>1.7410000000000001</v>
      </c>
      <c r="T16" s="57" t="s">
        <v>680</v>
      </c>
    </row>
    <row r="17" spans="1:20" ht="15.6" x14ac:dyDescent="0.35">
      <c r="A17" s="57" t="s">
        <v>527</v>
      </c>
      <c r="B17" s="57" t="s">
        <v>505</v>
      </c>
      <c r="C17" s="38" t="s">
        <v>658</v>
      </c>
      <c r="D17" s="58">
        <v>42767</v>
      </c>
      <c r="F17" s="57">
        <v>5295503.3590000002</v>
      </c>
      <c r="G17" s="57">
        <v>1642977.4010000001</v>
      </c>
      <c r="H17" s="57">
        <v>13.448</v>
      </c>
      <c r="I17" s="67" t="s">
        <v>11</v>
      </c>
      <c r="J17" s="59">
        <f t="shared" si="0"/>
        <v>1.173</v>
      </c>
      <c r="K17" s="59">
        <v>0.69699999999999995</v>
      </c>
      <c r="L17" s="59">
        <f t="shared" si="1"/>
        <v>1.77</v>
      </c>
      <c r="P17" s="57" t="s">
        <v>436</v>
      </c>
      <c r="Q17" s="57" t="s">
        <v>437</v>
      </c>
      <c r="R17" s="66" t="s">
        <v>438</v>
      </c>
      <c r="T17" s="66" t="s">
        <v>679</v>
      </c>
    </row>
    <row r="18" spans="1:20" x14ac:dyDescent="0.3">
      <c r="A18" s="57" t="s">
        <v>528</v>
      </c>
      <c r="B18" s="57" t="s">
        <v>505</v>
      </c>
      <c r="C18" s="38" t="s">
        <v>658</v>
      </c>
      <c r="D18" s="58">
        <v>42767</v>
      </c>
      <c r="F18" s="57">
        <v>5295500.5949999997</v>
      </c>
      <c r="G18" s="57">
        <v>1642980.781</v>
      </c>
      <c r="H18" s="57">
        <v>13.573</v>
      </c>
      <c r="I18" s="67" t="s">
        <v>11</v>
      </c>
      <c r="J18" s="59">
        <f t="shared" si="0"/>
        <v>1.298</v>
      </c>
      <c r="K18" s="59">
        <v>0.69699999999999995</v>
      </c>
      <c r="L18" s="59">
        <f t="shared" si="1"/>
        <v>1.895</v>
      </c>
      <c r="P18" s="57">
        <v>1.71</v>
      </c>
      <c r="Q18" s="57">
        <v>0.28999999999999998</v>
      </c>
      <c r="R18" s="68">
        <f>SUM(P18+(Q18-P18)*((COS(V10)+1)/2))</f>
        <v>0.6972696281274795</v>
      </c>
    </row>
    <row r="19" spans="1:20" x14ac:dyDescent="0.3">
      <c r="A19" s="57" t="s">
        <v>529</v>
      </c>
      <c r="B19" s="57" t="s">
        <v>505</v>
      </c>
      <c r="C19" s="38" t="s">
        <v>658</v>
      </c>
      <c r="D19" s="58">
        <v>42767</v>
      </c>
      <c r="F19" s="57">
        <v>5295499.6720000003</v>
      </c>
      <c r="G19" s="57">
        <v>1642980.7279999999</v>
      </c>
      <c r="H19" s="57">
        <v>13.601000000000001</v>
      </c>
      <c r="I19" s="67" t="s">
        <v>11</v>
      </c>
      <c r="J19" s="59">
        <f t="shared" si="0"/>
        <v>1.3260000000000005</v>
      </c>
      <c r="K19" s="59">
        <v>0.69699999999999995</v>
      </c>
      <c r="L19" s="59">
        <f t="shared" si="1"/>
        <v>1.9230000000000005</v>
      </c>
    </row>
    <row r="20" spans="1:20" x14ac:dyDescent="0.3">
      <c r="A20" s="57" t="s">
        <v>530</v>
      </c>
      <c r="B20" s="57" t="s">
        <v>505</v>
      </c>
      <c r="C20" s="38" t="s">
        <v>658</v>
      </c>
      <c r="D20" s="58">
        <v>42767</v>
      </c>
      <c r="F20" s="57">
        <v>5295492.4869999997</v>
      </c>
      <c r="G20" s="57">
        <v>1642980.5460000001</v>
      </c>
      <c r="H20" s="57">
        <v>13.423999999999999</v>
      </c>
      <c r="I20" s="67" t="s">
        <v>11</v>
      </c>
      <c r="J20" s="59">
        <f t="shared" si="0"/>
        <v>1.1489999999999991</v>
      </c>
      <c r="K20" s="59">
        <v>0.69699999999999995</v>
      </c>
      <c r="L20" s="59">
        <f t="shared" si="1"/>
        <v>1.7459999999999991</v>
      </c>
    </row>
    <row r="21" spans="1:20" x14ac:dyDescent="0.3">
      <c r="A21" s="57" t="s">
        <v>531</v>
      </c>
      <c r="B21" s="57" t="s">
        <v>505</v>
      </c>
      <c r="C21" s="38" t="s">
        <v>658</v>
      </c>
      <c r="D21" s="58">
        <v>42767</v>
      </c>
      <c r="F21" s="57">
        <v>5295489.4730000002</v>
      </c>
      <c r="G21" s="57">
        <v>1642981.122</v>
      </c>
      <c r="H21" s="57">
        <v>13.596</v>
      </c>
      <c r="I21" s="67" t="s">
        <v>11</v>
      </c>
      <c r="J21" s="59">
        <f t="shared" si="0"/>
        <v>1.3209999999999997</v>
      </c>
      <c r="K21" s="59">
        <v>0.69699999999999995</v>
      </c>
      <c r="L21" s="59">
        <f t="shared" si="1"/>
        <v>1.9179999999999997</v>
      </c>
    </row>
    <row r="22" spans="1:20" x14ac:dyDescent="0.3">
      <c r="A22" s="57" t="s">
        <v>532</v>
      </c>
      <c r="B22" s="57" t="s">
        <v>505</v>
      </c>
      <c r="C22" s="38" t="s">
        <v>658</v>
      </c>
      <c r="D22" s="58">
        <v>42767</v>
      </c>
      <c r="F22" s="57">
        <v>5295471.4519999996</v>
      </c>
      <c r="G22" s="57">
        <v>1643006.0789999999</v>
      </c>
      <c r="H22" s="57">
        <v>13.467000000000001</v>
      </c>
      <c r="I22" s="67" t="s">
        <v>11</v>
      </c>
      <c r="J22" s="59">
        <f t="shared" si="0"/>
        <v>1.1920000000000002</v>
      </c>
      <c r="K22" s="59">
        <v>0.69699999999999995</v>
      </c>
      <c r="L22" s="59">
        <f t="shared" si="1"/>
        <v>1.7890000000000001</v>
      </c>
      <c r="P22" s="58"/>
      <c r="Q22" s="60"/>
      <c r="R22" s="60"/>
    </row>
    <row r="23" spans="1:20" x14ac:dyDescent="0.3">
      <c r="A23" s="57" t="s">
        <v>533</v>
      </c>
      <c r="B23" s="57" t="s">
        <v>505</v>
      </c>
      <c r="C23" s="38" t="s">
        <v>658</v>
      </c>
      <c r="D23" s="58">
        <v>42767</v>
      </c>
      <c r="F23" s="57">
        <v>5295471.67</v>
      </c>
      <c r="G23" s="57">
        <v>1643006.351</v>
      </c>
      <c r="H23" s="57">
        <v>13.46</v>
      </c>
      <c r="I23" s="67" t="s">
        <v>11</v>
      </c>
      <c r="J23" s="59">
        <f t="shared" si="0"/>
        <v>1.1850000000000005</v>
      </c>
      <c r="K23" s="59">
        <v>0.69699999999999995</v>
      </c>
      <c r="L23" s="59">
        <f t="shared" si="1"/>
        <v>1.7820000000000005</v>
      </c>
      <c r="P23" s="58"/>
      <c r="Q23" s="60"/>
      <c r="R23" s="60"/>
    </row>
    <row r="24" spans="1:20" x14ac:dyDescent="0.3">
      <c r="A24" s="57" t="s">
        <v>534</v>
      </c>
      <c r="B24" s="57" t="s">
        <v>505</v>
      </c>
      <c r="C24" s="38" t="s">
        <v>658</v>
      </c>
      <c r="D24" s="58">
        <v>42767</v>
      </c>
      <c r="F24" s="57">
        <v>5295473.5219999999</v>
      </c>
      <c r="G24" s="57">
        <v>1643009.575</v>
      </c>
      <c r="H24" s="57">
        <v>13.522</v>
      </c>
      <c r="I24" s="67" t="s">
        <v>11</v>
      </c>
      <c r="J24" s="59">
        <f t="shared" si="0"/>
        <v>1.2469999999999999</v>
      </c>
      <c r="K24" s="59">
        <v>0.69699999999999995</v>
      </c>
      <c r="L24" s="59">
        <f t="shared" si="1"/>
        <v>1.8439999999999999</v>
      </c>
      <c r="P24" s="58"/>
      <c r="Q24" s="60"/>
      <c r="R24" s="60"/>
    </row>
    <row r="25" spans="1:20" x14ac:dyDescent="0.3">
      <c r="A25" s="57" t="s">
        <v>535</v>
      </c>
      <c r="B25" s="57" t="s">
        <v>505</v>
      </c>
      <c r="C25" s="38" t="s">
        <v>658</v>
      </c>
      <c r="D25" s="58">
        <v>42767</v>
      </c>
      <c r="F25" s="57">
        <v>5295464.0760000004</v>
      </c>
      <c r="G25" s="57">
        <v>1643007.889</v>
      </c>
      <c r="H25" s="57">
        <v>13.388999999999999</v>
      </c>
      <c r="I25" s="67" t="s">
        <v>11</v>
      </c>
      <c r="J25" s="59">
        <f t="shared" si="0"/>
        <v>1.113999999999999</v>
      </c>
      <c r="K25" s="59">
        <v>0.69699999999999995</v>
      </c>
      <c r="L25" s="59">
        <f t="shared" si="1"/>
        <v>1.710999999999999</v>
      </c>
      <c r="P25" s="58"/>
      <c r="Q25" s="60"/>
      <c r="R25" s="60"/>
    </row>
    <row r="26" spans="1:20" x14ac:dyDescent="0.3">
      <c r="A26" s="57" t="s">
        <v>536</v>
      </c>
      <c r="B26" s="57" t="s">
        <v>505</v>
      </c>
      <c r="C26" s="38" t="s">
        <v>658</v>
      </c>
      <c r="D26" s="58">
        <v>42767</v>
      </c>
      <c r="F26" s="57">
        <v>5295464.892</v>
      </c>
      <c r="G26" s="57">
        <v>1643007.8470000001</v>
      </c>
      <c r="H26" s="57">
        <v>13.484999999999999</v>
      </c>
      <c r="I26" s="67" t="s">
        <v>11</v>
      </c>
      <c r="J26" s="59">
        <f t="shared" si="0"/>
        <v>1.2099999999999991</v>
      </c>
      <c r="K26" s="59">
        <v>0.69699999999999995</v>
      </c>
      <c r="L26" s="59">
        <f t="shared" si="1"/>
        <v>1.8069999999999991</v>
      </c>
    </row>
    <row r="27" spans="1:20" x14ac:dyDescent="0.3">
      <c r="J27" s="59"/>
      <c r="K27" s="59"/>
      <c r="L27" s="59"/>
    </row>
    <row r="28" spans="1:20" x14ac:dyDescent="0.3">
      <c r="A28" s="57" t="s">
        <v>440</v>
      </c>
      <c r="B28" s="57" t="s">
        <v>439</v>
      </c>
      <c r="C28" s="38" t="s">
        <v>658</v>
      </c>
      <c r="D28" s="58">
        <v>42768</v>
      </c>
      <c r="E28" s="64">
        <v>1751</v>
      </c>
      <c r="F28" s="57">
        <v>5297642.8859999999</v>
      </c>
      <c r="G28" s="57">
        <v>1644126.6229999999</v>
      </c>
      <c r="H28" s="57">
        <v>12.179</v>
      </c>
      <c r="I28" s="57" t="s">
        <v>427</v>
      </c>
      <c r="J28" s="59"/>
      <c r="K28" s="59"/>
      <c r="L28" s="59"/>
    </row>
    <row r="29" spans="1:20" x14ac:dyDescent="0.3">
      <c r="A29" s="57" t="s">
        <v>18</v>
      </c>
      <c r="B29" s="57" t="s">
        <v>439</v>
      </c>
      <c r="C29" s="38" t="s">
        <v>658</v>
      </c>
      <c r="D29" s="58">
        <v>42768</v>
      </c>
      <c r="F29" s="57">
        <v>5297640.449</v>
      </c>
      <c r="G29" s="57">
        <v>1644124.8160000001</v>
      </c>
      <c r="H29" s="57">
        <v>12.95</v>
      </c>
      <c r="I29" s="67" t="s">
        <v>11</v>
      </c>
      <c r="J29" s="59">
        <f>SUM(H29-H$28)</f>
        <v>0.77099999999999902</v>
      </c>
      <c r="K29" s="59">
        <v>0.57099999999999995</v>
      </c>
      <c r="L29" s="59">
        <f t="shared" ref="L29:L47" si="2">SUM(J29:K29)-0.1</f>
        <v>1.2419999999999989</v>
      </c>
      <c r="M29" s="57">
        <v>0.1</v>
      </c>
      <c r="N29" s="59">
        <f>AVERAGE(L29:L47)</f>
        <v>1.3621052631578943</v>
      </c>
      <c r="O29" s="59">
        <f>STDEVA(L29:L47)</f>
        <v>0.10775532713660076</v>
      </c>
    </row>
    <row r="30" spans="1:20" x14ac:dyDescent="0.3">
      <c r="A30" s="57" t="s">
        <v>21</v>
      </c>
      <c r="B30" s="57" t="s">
        <v>439</v>
      </c>
      <c r="C30" s="38" t="s">
        <v>658</v>
      </c>
      <c r="D30" s="58">
        <v>42768</v>
      </c>
      <c r="F30" s="57">
        <v>5297640.2240000004</v>
      </c>
      <c r="G30" s="57">
        <v>1644125.8259999999</v>
      </c>
      <c r="H30" s="57">
        <v>12.968</v>
      </c>
      <c r="I30" s="67" t="s">
        <v>11</v>
      </c>
      <c r="J30" s="59">
        <f t="shared" ref="J30:J47" si="3">SUM(H30-H$28)</f>
        <v>0.7889999999999997</v>
      </c>
      <c r="K30" s="59">
        <v>0.57099999999999995</v>
      </c>
      <c r="L30" s="59">
        <f t="shared" si="2"/>
        <v>1.2599999999999996</v>
      </c>
    </row>
    <row r="31" spans="1:20" x14ac:dyDescent="0.3">
      <c r="A31" s="57" t="s">
        <v>24</v>
      </c>
      <c r="B31" s="57" t="s">
        <v>439</v>
      </c>
      <c r="C31" s="38" t="s">
        <v>658</v>
      </c>
      <c r="D31" s="58">
        <v>42768</v>
      </c>
      <c r="F31" s="57">
        <v>5297639.784</v>
      </c>
      <c r="G31" s="57">
        <v>1644127.328</v>
      </c>
      <c r="H31" s="57">
        <v>13.045999999999999</v>
      </c>
      <c r="I31" s="67" t="s">
        <v>11</v>
      </c>
      <c r="J31" s="59">
        <f t="shared" si="3"/>
        <v>0.8669999999999991</v>
      </c>
      <c r="K31" s="59">
        <v>0.57099999999999995</v>
      </c>
      <c r="L31" s="59">
        <f t="shared" si="2"/>
        <v>1.337999999999999</v>
      </c>
    </row>
    <row r="32" spans="1:20" x14ac:dyDescent="0.3">
      <c r="A32" s="57" t="s">
        <v>27</v>
      </c>
      <c r="B32" s="57" t="s">
        <v>439</v>
      </c>
      <c r="C32" s="38" t="s">
        <v>658</v>
      </c>
      <c r="D32" s="58">
        <v>42768</v>
      </c>
      <c r="F32" s="57">
        <v>5297639.7790000001</v>
      </c>
      <c r="G32" s="57">
        <v>1644128.89</v>
      </c>
      <c r="H32" s="57">
        <v>13.076000000000001</v>
      </c>
      <c r="I32" s="67" t="s">
        <v>11</v>
      </c>
      <c r="J32" s="59">
        <f t="shared" si="3"/>
        <v>0.89700000000000024</v>
      </c>
      <c r="K32" s="59">
        <v>0.57099999999999995</v>
      </c>
      <c r="L32" s="59">
        <f t="shared" si="2"/>
        <v>1.3680000000000001</v>
      </c>
    </row>
    <row r="33" spans="1:22" x14ac:dyDescent="0.3">
      <c r="A33" s="57" t="s">
        <v>30</v>
      </c>
      <c r="B33" s="57" t="s">
        <v>439</v>
      </c>
      <c r="C33" s="38" t="s">
        <v>658</v>
      </c>
      <c r="D33" s="58">
        <v>42768</v>
      </c>
      <c r="F33" s="57">
        <v>5297639.9139999999</v>
      </c>
      <c r="G33" s="57">
        <v>1644129.8810000001</v>
      </c>
      <c r="H33" s="57">
        <v>13.069000000000001</v>
      </c>
      <c r="I33" s="67" t="s">
        <v>11</v>
      </c>
      <c r="J33" s="59">
        <f t="shared" si="3"/>
        <v>0.89000000000000057</v>
      </c>
      <c r="K33" s="59">
        <v>0.57099999999999995</v>
      </c>
      <c r="L33" s="59">
        <f t="shared" si="2"/>
        <v>1.3610000000000004</v>
      </c>
    </row>
    <row r="34" spans="1:22" x14ac:dyDescent="0.3">
      <c r="A34" s="57" t="s">
        <v>33</v>
      </c>
      <c r="B34" s="57" t="s">
        <v>439</v>
      </c>
      <c r="C34" s="38" t="s">
        <v>658</v>
      </c>
      <c r="D34" s="58">
        <v>42768</v>
      </c>
      <c r="F34" s="57">
        <v>5297637.8030000003</v>
      </c>
      <c r="G34" s="57">
        <v>1644129.8319999999</v>
      </c>
      <c r="H34" s="57">
        <v>13.162000000000001</v>
      </c>
      <c r="I34" s="67" t="s">
        <v>11</v>
      </c>
      <c r="J34" s="59">
        <f t="shared" si="3"/>
        <v>0.98300000000000054</v>
      </c>
      <c r="K34" s="59">
        <v>0.57099999999999995</v>
      </c>
      <c r="L34" s="59">
        <f t="shared" si="2"/>
        <v>1.4540000000000004</v>
      </c>
      <c r="P34" s="57" t="s">
        <v>428</v>
      </c>
      <c r="Q34" s="57" t="s">
        <v>429</v>
      </c>
      <c r="R34" s="57" t="s">
        <v>430</v>
      </c>
      <c r="T34" s="57" t="s">
        <v>431</v>
      </c>
      <c r="U34" s="57">
        <v>1</v>
      </c>
      <c r="V34" s="57" t="s">
        <v>432</v>
      </c>
    </row>
    <row r="35" spans="1:22" x14ac:dyDescent="0.3">
      <c r="A35" s="57" t="s">
        <v>36</v>
      </c>
      <c r="B35" s="57" t="s">
        <v>439</v>
      </c>
      <c r="C35" s="38" t="s">
        <v>658</v>
      </c>
      <c r="D35" s="58">
        <v>42768</v>
      </c>
      <c r="F35" s="57">
        <v>5297637.4890000001</v>
      </c>
      <c r="G35" s="57">
        <v>1644128.469</v>
      </c>
      <c r="H35" s="57">
        <v>13.313000000000001</v>
      </c>
      <c r="I35" s="67" t="s">
        <v>11</v>
      </c>
      <c r="J35" s="59">
        <f t="shared" si="3"/>
        <v>1.1340000000000003</v>
      </c>
      <c r="K35" s="59">
        <v>0.57099999999999995</v>
      </c>
      <c r="L35" s="59">
        <f t="shared" si="2"/>
        <v>1.6050000000000002</v>
      </c>
      <c r="P35" s="57">
        <v>15</v>
      </c>
      <c r="Q35" s="57">
        <v>55</v>
      </c>
      <c r="R35" s="57">
        <f>SUM(Q35/60)+P35</f>
        <v>15.916666666666666</v>
      </c>
      <c r="S35" s="57" t="s">
        <v>433</v>
      </c>
      <c r="T35" s="57">
        <f>SUM(R37-R35)/(R36-R35)</f>
        <v>0.31436314363143664</v>
      </c>
      <c r="U35" s="57">
        <f>SUM(T35+1)</f>
        <v>1.3143631436314367</v>
      </c>
      <c r="V35" s="57">
        <f>SUM(U35*PI())</f>
        <v>4.1291935961817074</v>
      </c>
    </row>
    <row r="36" spans="1:22" x14ac:dyDescent="0.3">
      <c r="A36" s="57" t="s">
        <v>39</v>
      </c>
      <c r="B36" s="57" t="s">
        <v>439</v>
      </c>
      <c r="C36" s="38" t="s">
        <v>658</v>
      </c>
      <c r="D36" s="58">
        <v>42768</v>
      </c>
      <c r="F36" s="57">
        <v>5297636.1069999998</v>
      </c>
      <c r="G36" s="57">
        <v>1644123.645</v>
      </c>
      <c r="H36" s="57">
        <v>12.949</v>
      </c>
      <c r="I36" s="67" t="s">
        <v>11</v>
      </c>
      <c r="J36" s="59">
        <f t="shared" si="3"/>
        <v>0.76999999999999957</v>
      </c>
      <c r="K36" s="59">
        <v>0.57099999999999995</v>
      </c>
      <c r="L36" s="59">
        <f t="shared" si="2"/>
        <v>1.2409999999999994</v>
      </c>
      <c r="P36" s="57">
        <v>22</v>
      </c>
      <c r="Q36" s="57">
        <v>4</v>
      </c>
      <c r="R36" s="57">
        <f>SUM(Q36/60)+P36</f>
        <v>22.066666666666666</v>
      </c>
      <c r="S36" s="57" t="s">
        <v>434</v>
      </c>
    </row>
    <row r="37" spans="1:22" x14ac:dyDescent="0.3">
      <c r="A37" s="57" t="s">
        <v>42</v>
      </c>
      <c r="B37" s="57" t="s">
        <v>439</v>
      </c>
      <c r="C37" s="38" t="s">
        <v>658</v>
      </c>
      <c r="D37" s="58">
        <v>42768</v>
      </c>
      <c r="F37" s="57">
        <v>5297633.7290000003</v>
      </c>
      <c r="G37" s="57">
        <v>1644125.5360000001</v>
      </c>
      <c r="H37" s="57">
        <v>12.933</v>
      </c>
      <c r="I37" s="67" t="s">
        <v>11</v>
      </c>
      <c r="J37" s="59">
        <f t="shared" si="3"/>
        <v>0.75399999999999956</v>
      </c>
      <c r="K37" s="59">
        <v>0.57099999999999995</v>
      </c>
      <c r="L37" s="59">
        <f t="shared" si="2"/>
        <v>1.2249999999999994</v>
      </c>
      <c r="P37" s="57">
        <v>17</v>
      </c>
      <c r="Q37" s="57">
        <v>51</v>
      </c>
      <c r="R37" s="57">
        <f>SUM(Q37/60)+P37</f>
        <v>17.850000000000001</v>
      </c>
      <c r="S37" s="57" t="s">
        <v>435</v>
      </c>
    </row>
    <row r="38" spans="1:22" x14ac:dyDescent="0.3">
      <c r="A38" s="57" t="s">
        <v>45</v>
      </c>
      <c r="B38" s="57" t="s">
        <v>439</v>
      </c>
      <c r="C38" s="38" t="s">
        <v>658</v>
      </c>
      <c r="D38" s="58">
        <v>42768</v>
      </c>
      <c r="F38" s="57">
        <v>5297633.1610000003</v>
      </c>
      <c r="G38" s="57">
        <v>1644127.2279999999</v>
      </c>
      <c r="H38" s="57">
        <v>13.021000000000001</v>
      </c>
      <c r="I38" s="67" t="s">
        <v>11</v>
      </c>
      <c r="J38" s="59">
        <f t="shared" si="3"/>
        <v>0.84200000000000053</v>
      </c>
      <c r="K38" s="59">
        <v>0.57099999999999995</v>
      </c>
      <c r="L38" s="59">
        <f t="shared" si="2"/>
        <v>1.3130000000000004</v>
      </c>
    </row>
    <row r="39" spans="1:22" x14ac:dyDescent="0.3">
      <c r="A39" s="57" t="s">
        <v>48</v>
      </c>
      <c r="B39" s="57" t="s">
        <v>439</v>
      </c>
      <c r="C39" s="38" t="s">
        <v>658</v>
      </c>
      <c r="D39" s="58">
        <v>42768</v>
      </c>
      <c r="F39" s="57">
        <v>5297632.59</v>
      </c>
      <c r="G39" s="57">
        <v>1644129.112</v>
      </c>
      <c r="H39" s="57">
        <v>13.14</v>
      </c>
      <c r="I39" s="67" t="s">
        <v>11</v>
      </c>
      <c r="J39" s="59">
        <f t="shared" si="3"/>
        <v>0.9610000000000003</v>
      </c>
      <c r="K39" s="59">
        <v>0.57099999999999995</v>
      </c>
      <c r="L39" s="59">
        <f t="shared" si="2"/>
        <v>1.4320000000000002</v>
      </c>
    </row>
    <row r="40" spans="1:22" x14ac:dyDescent="0.3">
      <c r="A40" s="57" t="s">
        <v>51</v>
      </c>
      <c r="B40" s="57" t="s">
        <v>439</v>
      </c>
      <c r="C40" s="38" t="s">
        <v>658</v>
      </c>
      <c r="D40" s="58">
        <v>42768</v>
      </c>
      <c r="F40" s="57">
        <v>5297633.0609999998</v>
      </c>
      <c r="G40" s="57">
        <v>1644130.1089999999</v>
      </c>
      <c r="H40" s="57">
        <v>13.175000000000001</v>
      </c>
      <c r="I40" s="67" t="s">
        <v>11</v>
      </c>
      <c r="J40" s="59">
        <f t="shared" si="3"/>
        <v>0.99600000000000044</v>
      </c>
      <c r="K40" s="59">
        <v>0.57099999999999995</v>
      </c>
      <c r="L40" s="59">
        <f t="shared" si="2"/>
        <v>1.4670000000000003</v>
      </c>
    </row>
    <row r="41" spans="1:22" x14ac:dyDescent="0.3">
      <c r="A41" s="57" t="s">
        <v>54</v>
      </c>
      <c r="B41" s="57" t="s">
        <v>439</v>
      </c>
      <c r="C41" s="38" t="s">
        <v>658</v>
      </c>
      <c r="D41" s="58">
        <v>42768</v>
      </c>
      <c r="F41" s="57">
        <v>5297633.3090000004</v>
      </c>
      <c r="G41" s="57">
        <v>1644131.0379999999</v>
      </c>
      <c r="H41" s="57">
        <v>13.147</v>
      </c>
      <c r="I41" s="67" t="s">
        <v>11</v>
      </c>
      <c r="J41" s="59">
        <f t="shared" si="3"/>
        <v>0.96799999999999997</v>
      </c>
      <c r="K41" s="59">
        <v>0.57099999999999995</v>
      </c>
      <c r="L41" s="59">
        <f t="shared" si="2"/>
        <v>1.4389999999999998</v>
      </c>
    </row>
    <row r="42" spans="1:22" x14ac:dyDescent="0.3">
      <c r="A42" s="57" t="s">
        <v>57</v>
      </c>
      <c r="B42" s="57" t="s">
        <v>439</v>
      </c>
      <c r="C42" s="38" t="s">
        <v>658</v>
      </c>
      <c r="D42" s="58">
        <v>42768</v>
      </c>
      <c r="F42" s="57">
        <v>5297629.1279999996</v>
      </c>
      <c r="G42" s="57">
        <v>1644130.66</v>
      </c>
      <c r="H42" s="57">
        <v>13.282</v>
      </c>
      <c r="I42" s="67" t="s">
        <v>11</v>
      </c>
      <c r="J42" s="59">
        <f t="shared" si="3"/>
        <v>1.1029999999999998</v>
      </c>
      <c r="K42" s="59">
        <v>0.57099999999999995</v>
      </c>
      <c r="L42" s="59">
        <f t="shared" si="2"/>
        <v>1.5739999999999996</v>
      </c>
      <c r="P42" s="57" t="s">
        <v>436</v>
      </c>
      <c r="Q42" s="57" t="s">
        <v>437</v>
      </c>
      <c r="R42" s="66" t="s">
        <v>438</v>
      </c>
      <c r="T42" s="57" t="s">
        <v>680</v>
      </c>
    </row>
    <row r="43" spans="1:22" ht="15.6" x14ac:dyDescent="0.35">
      <c r="A43" s="57" t="s">
        <v>60</v>
      </c>
      <c r="B43" s="57" t="s">
        <v>439</v>
      </c>
      <c r="C43" s="38" t="s">
        <v>658</v>
      </c>
      <c r="D43" s="58">
        <v>42768</v>
      </c>
      <c r="F43" s="57">
        <v>5297627.5049999999</v>
      </c>
      <c r="G43" s="57">
        <v>1644127.1140000001</v>
      </c>
      <c r="H43" s="57">
        <v>13.019</v>
      </c>
      <c r="I43" s="67" t="s">
        <v>11</v>
      </c>
      <c r="J43" s="59">
        <f t="shared" si="3"/>
        <v>0.83999999999999986</v>
      </c>
      <c r="K43" s="59">
        <v>0.57099999999999995</v>
      </c>
      <c r="L43" s="59">
        <f t="shared" si="2"/>
        <v>1.3109999999999997</v>
      </c>
      <c r="P43" s="57">
        <v>0.27</v>
      </c>
      <c r="Q43" s="57">
        <v>1.61</v>
      </c>
      <c r="R43" s="68">
        <f>SUM(P43+(Q43-P43)*((COS(V35)+1)/2))</f>
        <v>0.57103505082674078</v>
      </c>
      <c r="T43" s="66" t="s">
        <v>679</v>
      </c>
    </row>
    <row r="44" spans="1:22" x14ac:dyDescent="0.3">
      <c r="A44" s="57" t="s">
        <v>63</v>
      </c>
      <c r="B44" s="57" t="s">
        <v>439</v>
      </c>
      <c r="C44" s="38" t="s">
        <v>658</v>
      </c>
      <c r="D44" s="58">
        <v>42768</v>
      </c>
      <c r="F44" s="57">
        <v>5297627.9759999998</v>
      </c>
      <c r="G44" s="57">
        <v>1644127.0619999999</v>
      </c>
      <c r="H44" s="57">
        <v>13.048</v>
      </c>
      <c r="I44" s="67" t="s">
        <v>11</v>
      </c>
      <c r="J44" s="59">
        <f t="shared" si="3"/>
        <v>0.86899999999999977</v>
      </c>
      <c r="K44" s="59">
        <v>0.57099999999999995</v>
      </c>
      <c r="L44" s="59">
        <f t="shared" si="2"/>
        <v>1.3399999999999996</v>
      </c>
    </row>
    <row r="45" spans="1:22" x14ac:dyDescent="0.3">
      <c r="A45" s="57" t="s">
        <v>66</v>
      </c>
      <c r="B45" s="57" t="s">
        <v>439</v>
      </c>
      <c r="C45" s="38" t="s">
        <v>658</v>
      </c>
      <c r="D45" s="58">
        <v>42768</v>
      </c>
      <c r="F45" s="57">
        <v>5297629.6909999996</v>
      </c>
      <c r="G45" s="57">
        <v>1644126.558</v>
      </c>
      <c r="H45" s="57">
        <v>13.016999999999999</v>
      </c>
      <c r="I45" s="67" t="s">
        <v>11</v>
      </c>
      <c r="J45" s="59">
        <f t="shared" si="3"/>
        <v>0.83799999999999919</v>
      </c>
      <c r="K45" s="59">
        <v>0.57099999999999995</v>
      </c>
      <c r="L45" s="59">
        <f t="shared" si="2"/>
        <v>1.3089999999999991</v>
      </c>
    </row>
    <row r="46" spans="1:22" x14ac:dyDescent="0.3">
      <c r="A46" s="57" t="s">
        <v>69</v>
      </c>
      <c r="B46" s="57" t="s">
        <v>439</v>
      </c>
      <c r="C46" s="38" t="s">
        <v>658</v>
      </c>
      <c r="D46" s="58">
        <v>42768</v>
      </c>
      <c r="F46" s="57">
        <v>5297630.3789999997</v>
      </c>
      <c r="G46" s="57">
        <v>1644126.4169999999</v>
      </c>
      <c r="H46" s="57">
        <v>13.007</v>
      </c>
      <c r="I46" s="67" t="s">
        <v>11</v>
      </c>
      <c r="J46" s="59">
        <f t="shared" si="3"/>
        <v>0.8279999999999994</v>
      </c>
      <c r="K46" s="59">
        <v>0.57099999999999995</v>
      </c>
      <c r="L46" s="59">
        <f t="shared" si="2"/>
        <v>1.2989999999999993</v>
      </c>
    </row>
    <row r="47" spans="1:22" x14ac:dyDescent="0.3">
      <c r="A47" s="57" t="s">
        <v>72</v>
      </c>
      <c r="B47" s="57" t="s">
        <v>439</v>
      </c>
      <c r="C47" s="38" t="s">
        <v>658</v>
      </c>
      <c r="D47" s="58">
        <v>42768</v>
      </c>
      <c r="F47" s="57">
        <v>5297631.5810000002</v>
      </c>
      <c r="G47" s="57">
        <v>1644128.22</v>
      </c>
      <c r="H47" s="57">
        <v>13.01</v>
      </c>
      <c r="I47" s="67" t="s">
        <v>11</v>
      </c>
      <c r="J47" s="59">
        <f t="shared" si="3"/>
        <v>0.83099999999999952</v>
      </c>
      <c r="K47" s="59">
        <v>0.57099999999999995</v>
      </c>
      <c r="L47" s="59">
        <f t="shared" si="2"/>
        <v>1.3019999999999994</v>
      </c>
    </row>
    <row r="48" spans="1:22" x14ac:dyDescent="0.3">
      <c r="J48" s="59"/>
      <c r="K48" s="59"/>
      <c r="L48" s="59"/>
    </row>
    <row r="49" spans="1:22" x14ac:dyDescent="0.3">
      <c r="A49" s="57" t="s">
        <v>441</v>
      </c>
      <c r="B49" s="57" t="s">
        <v>439</v>
      </c>
      <c r="C49" s="38" t="s">
        <v>658</v>
      </c>
      <c r="D49" s="58">
        <v>42768</v>
      </c>
      <c r="E49" s="64">
        <v>1758</v>
      </c>
      <c r="F49" s="57">
        <v>5297633.1140000001</v>
      </c>
      <c r="G49" s="57">
        <v>1644129.875</v>
      </c>
      <c r="H49" s="57">
        <v>12.198</v>
      </c>
      <c r="I49" s="57" t="s">
        <v>427</v>
      </c>
      <c r="J49" s="59"/>
      <c r="K49" s="59"/>
      <c r="L49" s="59"/>
    </row>
    <row r="50" spans="1:22" x14ac:dyDescent="0.3">
      <c r="A50" s="57" t="s">
        <v>78</v>
      </c>
      <c r="B50" s="57" t="s">
        <v>439</v>
      </c>
      <c r="C50" s="38" t="s">
        <v>658</v>
      </c>
      <c r="D50" s="58">
        <v>42768</v>
      </c>
      <c r="F50" s="57">
        <v>5297632.1210000003</v>
      </c>
      <c r="G50" s="57">
        <v>1644128.2620000001</v>
      </c>
      <c r="H50" s="57">
        <v>13.15</v>
      </c>
      <c r="I50" s="67" t="s">
        <v>13</v>
      </c>
      <c r="J50" s="59">
        <f>SUM(H50-H$49)</f>
        <v>0.95199999999999996</v>
      </c>
      <c r="K50" s="59">
        <v>0.60499999999999998</v>
      </c>
      <c r="L50" s="59">
        <f>SUM(J50:K50)-0.25</f>
        <v>1.3069999999999999</v>
      </c>
      <c r="M50" s="57">
        <v>0.25</v>
      </c>
      <c r="N50" s="59">
        <f>AVERAGE(L50:L69)</f>
        <v>1.2712999999999997</v>
      </c>
      <c r="O50" s="59">
        <f>STDEVA(L50:L69)</f>
        <v>0.1836100272459632</v>
      </c>
      <c r="P50" s="57" t="s">
        <v>428</v>
      </c>
      <c r="Q50" s="57" t="s">
        <v>429</v>
      </c>
      <c r="R50" s="57" t="s">
        <v>430</v>
      </c>
      <c r="T50" s="57" t="s">
        <v>431</v>
      </c>
      <c r="U50" s="57">
        <v>1</v>
      </c>
      <c r="V50" s="57" t="s">
        <v>432</v>
      </c>
    </row>
    <row r="51" spans="1:22" x14ac:dyDescent="0.3">
      <c r="A51" s="57" t="s">
        <v>81</v>
      </c>
      <c r="B51" s="57" t="s">
        <v>439</v>
      </c>
      <c r="C51" s="38" t="s">
        <v>658</v>
      </c>
      <c r="D51" s="58">
        <v>42768</v>
      </c>
      <c r="F51" s="57">
        <v>5297632.2529999996</v>
      </c>
      <c r="G51" s="57">
        <v>1644128.547</v>
      </c>
      <c r="H51" s="57">
        <v>13.135999999999999</v>
      </c>
      <c r="I51" s="67" t="s">
        <v>13</v>
      </c>
      <c r="J51" s="59">
        <f t="shared" ref="J51:J69" si="4">SUM(H51-H$49)</f>
        <v>0.93799999999999883</v>
      </c>
      <c r="K51" s="59">
        <v>0.60499999999999998</v>
      </c>
      <c r="L51" s="59">
        <f t="shared" ref="L51:L69" si="5">SUM(J51:K51)-0.25</f>
        <v>1.2929999999999988</v>
      </c>
      <c r="P51" s="57">
        <v>15</v>
      </c>
      <c r="Q51" s="57">
        <v>55</v>
      </c>
      <c r="R51" s="57">
        <f>SUM(Q51/60)+P51</f>
        <v>15.916666666666666</v>
      </c>
      <c r="S51" s="57" t="s">
        <v>433</v>
      </c>
      <c r="T51" s="57">
        <f>SUM(R53-R51)/(R52-R51)</f>
        <v>0.33333333333333315</v>
      </c>
      <c r="U51" s="57">
        <f>SUM(T51+1)</f>
        <v>1.333333333333333</v>
      </c>
      <c r="V51" s="57">
        <f>SUM(U51*PI())</f>
        <v>4.1887902047863896</v>
      </c>
    </row>
    <row r="52" spans="1:22" x14ac:dyDescent="0.3">
      <c r="A52" s="57" t="s">
        <v>84</v>
      </c>
      <c r="B52" s="57" t="s">
        <v>439</v>
      </c>
      <c r="C52" s="38" t="s">
        <v>658</v>
      </c>
      <c r="D52" s="58">
        <v>42768</v>
      </c>
      <c r="F52" s="57">
        <v>5297632.59</v>
      </c>
      <c r="G52" s="57">
        <v>1644133.753</v>
      </c>
      <c r="H52" s="57">
        <v>13.021000000000001</v>
      </c>
      <c r="I52" s="67" t="s">
        <v>13</v>
      </c>
      <c r="J52" s="59">
        <f t="shared" si="4"/>
        <v>0.8230000000000004</v>
      </c>
      <c r="K52" s="59">
        <v>0.60499999999999998</v>
      </c>
      <c r="L52" s="59">
        <f t="shared" si="5"/>
        <v>1.1780000000000004</v>
      </c>
      <c r="P52" s="57">
        <v>22</v>
      </c>
      <c r="Q52" s="57">
        <v>4</v>
      </c>
      <c r="R52" s="57">
        <f>SUM(Q52/60)+P52</f>
        <v>22.066666666666666</v>
      </c>
      <c r="S52" s="57" t="s">
        <v>434</v>
      </c>
    </row>
    <row r="53" spans="1:22" x14ac:dyDescent="0.3">
      <c r="A53" s="57" t="s">
        <v>87</v>
      </c>
      <c r="B53" s="57" t="s">
        <v>439</v>
      </c>
      <c r="C53" s="38" t="s">
        <v>658</v>
      </c>
      <c r="D53" s="58">
        <v>42768</v>
      </c>
      <c r="F53" s="57">
        <v>5297629.1109999996</v>
      </c>
      <c r="G53" s="57">
        <v>1644131.4939999999</v>
      </c>
      <c r="H53" s="57">
        <v>13.391</v>
      </c>
      <c r="I53" s="67" t="s">
        <v>13</v>
      </c>
      <c r="J53" s="59">
        <f t="shared" si="4"/>
        <v>1.1929999999999996</v>
      </c>
      <c r="K53" s="59">
        <v>0.60499999999999998</v>
      </c>
      <c r="L53" s="59">
        <f t="shared" si="5"/>
        <v>1.5479999999999996</v>
      </c>
      <c r="P53" s="57">
        <v>17</v>
      </c>
      <c r="Q53" s="57">
        <v>58</v>
      </c>
      <c r="R53" s="57">
        <f>SUM(Q53/60)+P53</f>
        <v>17.966666666666665</v>
      </c>
      <c r="S53" s="57" t="s">
        <v>435</v>
      </c>
    </row>
    <row r="54" spans="1:22" x14ac:dyDescent="0.3">
      <c r="A54" s="57" t="s">
        <v>90</v>
      </c>
      <c r="B54" s="57" t="s">
        <v>439</v>
      </c>
      <c r="C54" s="38" t="s">
        <v>658</v>
      </c>
      <c r="D54" s="58">
        <v>42768</v>
      </c>
      <c r="F54" s="57">
        <v>5297629.3370000003</v>
      </c>
      <c r="G54" s="57">
        <v>1644131.649</v>
      </c>
      <c r="H54" s="57">
        <v>13.361000000000001</v>
      </c>
      <c r="I54" s="67" t="s">
        <v>13</v>
      </c>
      <c r="J54" s="59">
        <f t="shared" si="4"/>
        <v>1.1630000000000003</v>
      </c>
      <c r="K54" s="59">
        <v>0.60499999999999998</v>
      </c>
      <c r="L54" s="59">
        <f t="shared" si="5"/>
        <v>1.5180000000000002</v>
      </c>
    </row>
    <row r="55" spans="1:22" x14ac:dyDescent="0.3">
      <c r="A55" s="57" t="s">
        <v>93</v>
      </c>
      <c r="B55" s="57" t="s">
        <v>439</v>
      </c>
      <c r="C55" s="38" t="s">
        <v>658</v>
      </c>
      <c r="D55" s="58">
        <v>42768</v>
      </c>
      <c r="F55" s="57">
        <v>5297628.6960000005</v>
      </c>
      <c r="G55" s="57">
        <v>1644129.223</v>
      </c>
      <c r="H55" s="57">
        <v>13.164999999999999</v>
      </c>
      <c r="I55" s="67" t="s">
        <v>13</v>
      </c>
      <c r="J55" s="59">
        <f t="shared" si="4"/>
        <v>0.96699999999999875</v>
      </c>
      <c r="K55" s="59">
        <v>0.60499999999999998</v>
      </c>
      <c r="L55" s="59">
        <f t="shared" si="5"/>
        <v>1.3219999999999987</v>
      </c>
    </row>
    <row r="56" spans="1:22" x14ac:dyDescent="0.3">
      <c r="A56" s="57" t="s">
        <v>96</v>
      </c>
      <c r="B56" s="57" t="s">
        <v>439</v>
      </c>
      <c r="C56" s="38" t="s">
        <v>658</v>
      </c>
      <c r="D56" s="58">
        <v>42768</v>
      </c>
      <c r="F56" s="57">
        <v>5297627.8760000002</v>
      </c>
      <c r="G56" s="57">
        <v>1644128.9809999999</v>
      </c>
      <c r="H56" s="57">
        <v>13.361000000000001</v>
      </c>
      <c r="I56" s="67" t="s">
        <v>13</v>
      </c>
      <c r="J56" s="59">
        <f t="shared" si="4"/>
        <v>1.1630000000000003</v>
      </c>
      <c r="K56" s="59">
        <v>0.60499999999999998</v>
      </c>
      <c r="L56" s="59">
        <f t="shared" si="5"/>
        <v>1.5180000000000002</v>
      </c>
    </row>
    <row r="57" spans="1:22" x14ac:dyDescent="0.3">
      <c r="A57" s="57" t="s">
        <v>99</v>
      </c>
      <c r="B57" s="57" t="s">
        <v>439</v>
      </c>
      <c r="C57" s="38" t="s">
        <v>658</v>
      </c>
      <c r="D57" s="58">
        <v>42768</v>
      </c>
      <c r="F57" s="57">
        <v>5297633.2280000001</v>
      </c>
      <c r="G57" s="57">
        <v>1644127.91</v>
      </c>
      <c r="H57" s="57">
        <v>13.183999999999999</v>
      </c>
      <c r="I57" s="67" t="s">
        <v>13</v>
      </c>
      <c r="J57" s="59">
        <f t="shared" si="4"/>
        <v>0.98599999999999888</v>
      </c>
      <c r="K57" s="59">
        <v>0.60499999999999998</v>
      </c>
      <c r="L57" s="59">
        <f t="shared" si="5"/>
        <v>1.3409999999999989</v>
      </c>
    </row>
    <row r="58" spans="1:22" x14ac:dyDescent="0.3">
      <c r="A58" s="57" t="s">
        <v>102</v>
      </c>
      <c r="B58" s="57" t="s">
        <v>439</v>
      </c>
      <c r="C58" s="38" t="s">
        <v>658</v>
      </c>
      <c r="D58" s="58">
        <v>42768</v>
      </c>
      <c r="F58" s="57">
        <v>5297634.2929999996</v>
      </c>
      <c r="G58" s="57">
        <v>1644128.588</v>
      </c>
      <c r="H58" s="57">
        <v>13.291</v>
      </c>
      <c r="I58" s="67" t="s">
        <v>13</v>
      </c>
      <c r="J58" s="59">
        <f t="shared" si="4"/>
        <v>1.093</v>
      </c>
      <c r="K58" s="59">
        <v>0.60499999999999998</v>
      </c>
      <c r="L58" s="59">
        <f t="shared" si="5"/>
        <v>1.448</v>
      </c>
      <c r="P58" s="57" t="s">
        <v>436</v>
      </c>
      <c r="Q58" s="57" t="s">
        <v>437</v>
      </c>
      <c r="R58" s="66" t="s">
        <v>438</v>
      </c>
      <c r="T58" s="57" t="s">
        <v>680</v>
      </c>
    </row>
    <row r="59" spans="1:22" ht="15.6" x14ac:dyDescent="0.35">
      <c r="A59" s="57" t="s">
        <v>105</v>
      </c>
      <c r="B59" s="57" t="s">
        <v>439</v>
      </c>
      <c r="C59" s="38" t="s">
        <v>658</v>
      </c>
      <c r="D59" s="58">
        <v>42768</v>
      </c>
      <c r="F59" s="57">
        <v>5297635.3499999996</v>
      </c>
      <c r="G59" s="57">
        <v>1644129.5560000001</v>
      </c>
      <c r="H59" s="57">
        <v>13.247</v>
      </c>
      <c r="I59" s="67" t="s">
        <v>13</v>
      </c>
      <c r="J59" s="59">
        <f t="shared" si="4"/>
        <v>1.0489999999999995</v>
      </c>
      <c r="K59" s="59">
        <v>0.60499999999999998</v>
      </c>
      <c r="L59" s="59">
        <f t="shared" si="5"/>
        <v>1.4039999999999995</v>
      </c>
      <c r="P59" s="57">
        <v>0.27</v>
      </c>
      <c r="Q59" s="57">
        <v>1.61</v>
      </c>
      <c r="R59" s="66">
        <f>SUM(P59+(Q59-P59)*((COS(V51)+1)/2))</f>
        <v>0.60499999999999921</v>
      </c>
      <c r="T59" s="66" t="s">
        <v>679</v>
      </c>
    </row>
    <row r="60" spans="1:22" x14ac:dyDescent="0.3">
      <c r="A60" s="57" t="s">
        <v>108</v>
      </c>
      <c r="B60" s="57" t="s">
        <v>439</v>
      </c>
      <c r="C60" s="38" t="s">
        <v>658</v>
      </c>
      <c r="D60" s="58">
        <v>42768</v>
      </c>
      <c r="F60" s="57">
        <v>5297637.1310000001</v>
      </c>
      <c r="G60" s="57">
        <v>1644127.578</v>
      </c>
      <c r="H60" s="57">
        <v>13.250999999999999</v>
      </c>
      <c r="I60" s="67" t="s">
        <v>13</v>
      </c>
      <c r="J60" s="59">
        <f t="shared" si="4"/>
        <v>1.052999999999999</v>
      </c>
      <c r="K60" s="59">
        <v>0.60499999999999998</v>
      </c>
      <c r="L60" s="59">
        <f t="shared" si="5"/>
        <v>1.407999999999999</v>
      </c>
    </row>
    <row r="61" spans="1:22" x14ac:dyDescent="0.3">
      <c r="A61" s="57" t="s">
        <v>111</v>
      </c>
      <c r="B61" s="57" t="s">
        <v>439</v>
      </c>
      <c r="C61" s="38" t="s">
        <v>658</v>
      </c>
      <c r="D61" s="58">
        <v>42768</v>
      </c>
      <c r="F61" s="57">
        <v>5297637.5420000004</v>
      </c>
      <c r="G61" s="57">
        <v>1644128.6629999999</v>
      </c>
      <c r="H61" s="57">
        <v>13.304</v>
      </c>
      <c r="I61" s="67" t="s">
        <v>13</v>
      </c>
      <c r="J61" s="59">
        <f t="shared" si="4"/>
        <v>1.1059999999999999</v>
      </c>
      <c r="K61" s="59">
        <v>0.60499999999999998</v>
      </c>
      <c r="L61" s="59">
        <f t="shared" si="5"/>
        <v>1.4609999999999999</v>
      </c>
    </row>
    <row r="62" spans="1:22" x14ac:dyDescent="0.3">
      <c r="A62" s="57" t="s">
        <v>114</v>
      </c>
      <c r="B62" s="57" t="s">
        <v>439</v>
      </c>
      <c r="C62" s="38" t="s">
        <v>658</v>
      </c>
      <c r="D62" s="58">
        <v>42768</v>
      </c>
      <c r="F62" s="57">
        <v>5297637.5939999996</v>
      </c>
      <c r="G62" s="57">
        <v>1644129.453</v>
      </c>
      <c r="H62" s="57">
        <v>13.098000000000001</v>
      </c>
      <c r="I62" s="67" t="s">
        <v>13</v>
      </c>
      <c r="J62" s="59">
        <f t="shared" si="4"/>
        <v>0.90000000000000036</v>
      </c>
      <c r="K62" s="59">
        <v>0.60499999999999998</v>
      </c>
      <c r="L62" s="59">
        <f t="shared" si="5"/>
        <v>1.2550000000000003</v>
      </c>
    </row>
    <row r="63" spans="1:22" x14ac:dyDescent="0.3">
      <c r="A63" s="57" t="s">
        <v>117</v>
      </c>
      <c r="B63" s="57" t="s">
        <v>439</v>
      </c>
      <c r="C63" s="38" t="s">
        <v>658</v>
      </c>
      <c r="D63" s="58">
        <v>42768</v>
      </c>
      <c r="F63" s="57">
        <v>5297640.4970000004</v>
      </c>
      <c r="G63" s="57">
        <v>1644124.77</v>
      </c>
      <c r="H63" s="57">
        <v>12.89</v>
      </c>
      <c r="I63" s="67" t="s">
        <v>13</v>
      </c>
      <c r="J63" s="59">
        <f t="shared" si="4"/>
        <v>0.69200000000000017</v>
      </c>
      <c r="K63" s="59">
        <v>0.60499999999999998</v>
      </c>
      <c r="L63" s="59">
        <f t="shared" si="5"/>
        <v>1.0470000000000002</v>
      </c>
    </row>
    <row r="64" spans="1:22" x14ac:dyDescent="0.3">
      <c r="A64" s="57" t="s">
        <v>120</v>
      </c>
      <c r="B64" s="57" t="s">
        <v>439</v>
      </c>
      <c r="C64" s="38" t="s">
        <v>658</v>
      </c>
      <c r="D64" s="58">
        <v>42768</v>
      </c>
      <c r="F64" s="57">
        <v>5297640.4409999996</v>
      </c>
      <c r="G64" s="57">
        <v>1644122.7409999999</v>
      </c>
      <c r="H64" s="57">
        <v>12.897</v>
      </c>
      <c r="I64" s="67" t="s">
        <v>13</v>
      </c>
      <c r="J64" s="59">
        <f t="shared" si="4"/>
        <v>0.69899999999999984</v>
      </c>
      <c r="K64" s="59">
        <v>0.60499999999999998</v>
      </c>
      <c r="L64" s="59">
        <f t="shared" si="5"/>
        <v>1.0539999999999998</v>
      </c>
    </row>
    <row r="65" spans="1:22" x14ac:dyDescent="0.3">
      <c r="A65" s="57" t="s">
        <v>123</v>
      </c>
      <c r="B65" s="57" t="s">
        <v>439</v>
      </c>
      <c r="C65" s="38" t="s">
        <v>658</v>
      </c>
      <c r="D65" s="58">
        <v>42768</v>
      </c>
      <c r="F65" s="57">
        <v>5297644.3830000004</v>
      </c>
      <c r="G65" s="57">
        <v>1644119.868</v>
      </c>
      <c r="H65" s="57">
        <v>12.952</v>
      </c>
      <c r="I65" s="67" t="s">
        <v>13</v>
      </c>
      <c r="J65" s="59">
        <f t="shared" si="4"/>
        <v>0.75399999999999956</v>
      </c>
      <c r="K65" s="59">
        <v>0.60499999999999998</v>
      </c>
      <c r="L65" s="59">
        <f t="shared" si="5"/>
        <v>1.1089999999999995</v>
      </c>
    </row>
    <row r="66" spans="1:22" x14ac:dyDescent="0.3">
      <c r="A66" s="57" t="s">
        <v>126</v>
      </c>
      <c r="B66" s="57" t="s">
        <v>439</v>
      </c>
      <c r="C66" s="38" t="s">
        <v>658</v>
      </c>
      <c r="D66" s="58">
        <v>42768</v>
      </c>
      <c r="F66" s="57">
        <v>5297644.2290000003</v>
      </c>
      <c r="G66" s="57">
        <v>1644119.71</v>
      </c>
      <c r="H66" s="57">
        <v>12.907999999999999</v>
      </c>
      <c r="I66" s="67" t="s">
        <v>13</v>
      </c>
      <c r="J66" s="59">
        <f t="shared" si="4"/>
        <v>0.70999999999999908</v>
      </c>
      <c r="K66" s="59">
        <v>0.60499999999999998</v>
      </c>
      <c r="L66" s="59">
        <f t="shared" si="5"/>
        <v>1.0649999999999991</v>
      </c>
    </row>
    <row r="67" spans="1:22" x14ac:dyDescent="0.3">
      <c r="A67" s="57" t="s">
        <v>129</v>
      </c>
      <c r="B67" s="57" t="s">
        <v>439</v>
      </c>
      <c r="C67" s="38" t="s">
        <v>658</v>
      </c>
      <c r="D67" s="58">
        <v>42768</v>
      </c>
      <c r="F67" s="57">
        <v>5297644.8250000002</v>
      </c>
      <c r="G67" s="57">
        <v>1644120.1850000001</v>
      </c>
      <c r="H67" s="57">
        <v>12.962</v>
      </c>
      <c r="I67" s="67" t="s">
        <v>13</v>
      </c>
      <c r="J67" s="59">
        <f t="shared" si="4"/>
        <v>0.76399999999999935</v>
      </c>
      <c r="K67" s="59">
        <v>0.60499999999999998</v>
      </c>
      <c r="L67" s="59">
        <f t="shared" si="5"/>
        <v>1.1189999999999993</v>
      </c>
    </row>
    <row r="68" spans="1:22" x14ac:dyDescent="0.3">
      <c r="A68" s="57" t="s">
        <v>132</v>
      </c>
      <c r="B68" s="57" t="s">
        <v>439</v>
      </c>
      <c r="C68" s="38" t="s">
        <v>658</v>
      </c>
      <c r="D68" s="58">
        <v>42768</v>
      </c>
      <c r="F68" s="57">
        <v>5297647.0530000003</v>
      </c>
      <c r="G68" s="57">
        <v>1644120.341</v>
      </c>
      <c r="H68" s="57">
        <v>12.866</v>
      </c>
      <c r="I68" s="67" t="s">
        <v>13</v>
      </c>
      <c r="J68" s="59">
        <f t="shared" si="4"/>
        <v>0.66799999999999926</v>
      </c>
      <c r="K68" s="59">
        <v>0.60499999999999998</v>
      </c>
      <c r="L68" s="59">
        <f t="shared" si="5"/>
        <v>1.0229999999999992</v>
      </c>
    </row>
    <row r="69" spans="1:22" x14ac:dyDescent="0.3">
      <c r="A69" s="57" t="s">
        <v>135</v>
      </c>
      <c r="B69" s="57" t="s">
        <v>439</v>
      </c>
      <c r="C69" s="38" t="s">
        <v>658</v>
      </c>
      <c r="D69" s="58">
        <v>42768</v>
      </c>
      <c r="F69" s="57">
        <v>5297648.2070000004</v>
      </c>
      <c r="G69" s="57">
        <v>1644121.3119999999</v>
      </c>
      <c r="H69" s="57">
        <v>12.851000000000001</v>
      </c>
      <c r="I69" s="67" t="s">
        <v>13</v>
      </c>
      <c r="J69" s="59">
        <f t="shared" si="4"/>
        <v>0.65300000000000047</v>
      </c>
      <c r="K69" s="59">
        <v>0.60499999999999998</v>
      </c>
      <c r="L69" s="59">
        <f t="shared" si="5"/>
        <v>1.0080000000000005</v>
      </c>
    </row>
    <row r="70" spans="1:22" x14ac:dyDescent="0.3">
      <c r="J70" s="59"/>
      <c r="K70" s="59"/>
      <c r="L70" s="59"/>
    </row>
    <row r="71" spans="1:22" x14ac:dyDescent="0.3">
      <c r="A71" s="57" t="s">
        <v>442</v>
      </c>
      <c r="B71" s="57" t="s">
        <v>439</v>
      </c>
      <c r="C71" s="38" t="s">
        <v>658</v>
      </c>
      <c r="D71" s="58">
        <v>42768</v>
      </c>
      <c r="E71" s="64">
        <v>1822</v>
      </c>
      <c r="F71" s="57">
        <v>5297741.659</v>
      </c>
      <c r="G71" s="57">
        <v>1644126.8940000001</v>
      </c>
      <c r="H71" s="57">
        <v>12.356999999999999</v>
      </c>
      <c r="I71" s="57" t="s">
        <v>427</v>
      </c>
      <c r="J71" s="59"/>
      <c r="K71" s="59"/>
      <c r="L71" s="59"/>
    </row>
    <row r="72" spans="1:22" x14ac:dyDescent="0.3">
      <c r="A72" s="57" t="s">
        <v>141</v>
      </c>
      <c r="B72" s="57" t="s">
        <v>439</v>
      </c>
      <c r="C72" s="38" t="s">
        <v>658</v>
      </c>
      <c r="D72" s="58">
        <v>42768</v>
      </c>
      <c r="F72" s="57">
        <v>5297743.4749999996</v>
      </c>
      <c r="G72" s="57">
        <v>1644126.608</v>
      </c>
      <c r="H72" s="57">
        <v>12.906000000000001</v>
      </c>
      <c r="I72" s="57" t="s">
        <v>682</v>
      </c>
      <c r="J72" s="59">
        <f>SUM(H72-H$71)</f>
        <v>0.54900000000000126</v>
      </c>
      <c r="K72" s="59">
        <v>0.72970000000000002</v>
      </c>
      <c r="L72" s="59">
        <f t="shared" ref="L72:L90" si="6">SUM(J72:K72)-0.25</f>
        <v>1.0287000000000013</v>
      </c>
      <c r="M72" s="57">
        <v>0.25</v>
      </c>
      <c r="N72" s="59">
        <f>AVERAGE(L72:L90)</f>
        <v>1.1693315789473693</v>
      </c>
      <c r="O72" s="59">
        <f>STDEVA(L72:L90)</f>
        <v>0.15665468412556166</v>
      </c>
      <c r="P72" s="57" t="s">
        <v>428</v>
      </c>
      <c r="Q72" s="57" t="s">
        <v>429</v>
      </c>
      <c r="R72" s="57" t="s">
        <v>430</v>
      </c>
      <c r="T72" s="57" t="s">
        <v>431</v>
      </c>
      <c r="U72" s="57">
        <v>1</v>
      </c>
      <c r="V72" s="57" t="s">
        <v>432</v>
      </c>
    </row>
    <row r="73" spans="1:22" x14ac:dyDescent="0.3">
      <c r="A73" s="57" t="s">
        <v>144</v>
      </c>
      <c r="B73" s="57" t="s">
        <v>439</v>
      </c>
      <c r="C73" s="38" t="s">
        <v>658</v>
      </c>
      <c r="D73" s="58">
        <v>42768</v>
      </c>
      <c r="F73" s="57">
        <v>5297743.7970000003</v>
      </c>
      <c r="G73" s="57">
        <v>1644127.6310000001</v>
      </c>
      <c r="H73" s="57">
        <v>12.936999999999999</v>
      </c>
      <c r="I73" s="57" t="s">
        <v>682</v>
      </c>
      <c r="J73" s="59">
        <f t="shared" ref="J73:J90" si="7">SUM(H73-H$71)</f>
        <v>0.58000000000000007</v>
      </c>
      <c r="K73" s="59">
        <v>0.72970000000000002</v>
      </c>
      <c r="L73" s="59">
        <f t="shared" si="6"/>
        <v>1.0597000000000001</v>
      </c>
      <c r="P73" s="57">
        <v>15</v>
      </c>
      <c r="Q73" s="57">
        <v>55</v>
      </c>
      <c r="R73" s="57">
        <f>SUM(Q73/60)+P73</f>
        <v>15.916666666666666</v>
      </c>
      <c r="S73" s="57" t="s">
        <v>433</v>
      </c>
      <c r="T73" s="57">
        <f>SUM(R75-R73)/(R74-R73)</f>
        <v>0.39837398373983757</v>
      </c>
      <c r="U73" s="57">
        <f>SUM(T73+1)</f>
        <v>1.3983739837398375</v>
      </c>
      <c r="V73" s="57">
        <f>SUM(U73*PI())</f>
        <v>4.3931214342881661</v>
      </c>
    </row>
    <row r="74" spans="1:22" x14ac:dyDescent="0.3">
      <c r="A74" s="57" t="s">
        <v>147</v>
      </c>
      <c r="B74" s="57" t="s">
        <v>439</v>
      </c>
      <c r="C74" s="38" t="s">
        <v>658</v>
      </c>
      <c r="D74" s="58">
        <v>42768</v>
      </c>
      <c r="F74" s="57">
        <v>5297744.0209999997</v>
      </c>
      <c r="G74" s="57">
        <v>1644127.976</v>
      </c>
      <c r="H74" s="57">
        <v>12.912000000000001</v>
      </c>
      <c r="I74" s="57" t="s">
        <v>682</v>
      </c>
      <c r="J74" s="59">
        <f t="shared" si="7"/>
        <v>0.55500000000000149</v>
      </c>
      <c r="K74" s="59">
        <v>0.72970000000000002</v>
      </c>
      <c r="L74" s="59">
        <f t="shared" si="6"/>
        <v>1.0347000000000015</v>
      </c>
      <c r="P74" s="57">
        <v>22</v>
      </c>
      <c r="Q74" s="57">
        <v>4</v>
      </c>
      <c r="R74" s="57">
        <f>SUM(Q74/60)+P74</f>
        <v>22.066666666666666</v>
      </c>
      <c r="S74" s="57" t="s">
        <v>434</v>
      </c>
    </row>
    <row r="75" spans="1:22" x14ac:dyDescent="0.3">
      <c r="A75" s="57" t="s">
        <v>150</v>
      </c>
      <c r="B75" s="57" t="s">
        <v>439</v>
      </c>
      <c r="C75" s="38" t="s">
        <v>658</v>
      </c>
      <c r="D75" s="58">
        <v>42768</v>
      </c>
      <c r="F75" s="57">
        <v>5297744.2929999996</v>
      </c>
      <c r="G75" s="57">
        <v>1644128.1189999999</v>
      </c>
      <c r="H75" s="57">
        <v>12.849</v>
      </c>
      <c r="I75" s="57" t="s">
        <v>682</v>
      </c>
      <c r="J75" s="59">
        <f t="shared" si="7"/>
        <v>0.49200000000000088</v>
      </c>
      <c r="K75" s="59">
        <v>0.72970000000000002</v>
      </c>
      <c r="L75" s="59">
        <f t="shared" si="6"/>
        <v>0.9717000000000009</v>
      </c>
      <c r="P75" s="57">
        <v>18</v>
      </c>
      <c r="Q75" s="57">
        <v>22</v>
      </c>
      <c r="R75" s="57">
        <f>SUM(Q75/60)+P75</f>
        <v>18.366666666666667</v>
      </c>
      <c r="S75" s="57" t="s">
        <v>435</v>
      </c>
    </row>
    <row r="76" spans="1:22" x14ac:dyDescent="0.3">
      <c r="A76" s="57" t="s">
        <v>153</v>
      </c>
      <c r="B76" s="57" t="s">
        <v>439</v>
      </c>
      <c r="C76" s="38" t="s">
        <v>658</v>
      </c>
      <c r="D76" s="58">
        <v>42768</v>
      </c>
      <c r="F76" s="57">
        <v>5297744.4780000001</v>
      </c>
      <c r="G76" s="57">
        <v>1644128.4580000001</v>
      </c>
      <c r="H76" s="57">
        <v>12.942</v>
      </c>
      <c r="I76" s="57" t="s">
        <v>682</v>
      </c>
      <c r="J76" s="59">
        <f t="shared" si="7"/>
        <v>0.58500000000000085</v>
      </c>
      <c r="K76" s="59">
        <v>0.72970000000000002</v>
      </c>
      <c r="L76" s="59">
        <f t="shared" si="6"/>
        <v>1.0647000000000009</v>
      </c>
    </row>
    <row r="77" spans="1:22" x14ac:dyDescent="0.3">
      <c r="A77" s="57" t="s">
        <v>156</v>
      </c>
      <c r="B77" s="57" t="s">
        <v>439</v>
      </c>
      <c r="C77" s="38" t="s">
        <v>658</v>
      </c>
      <c r="D77" s="58">
        <v>42768</v>
      </c>
      <c r="F77" s="57">
        <v>5297740.08</v>
      </c>
      <c r="G77" s="57">
        <v>1644125.0430000001</v>
      </c>
      <c r="H77" s="57">
        <v>12.823</v>
      </c>
      <c r="I77" s="57" t="s">
        <v>682</v>
      </c>
      <c r="J77" s="59">
        <f t="shared" si="7"/>
        <v>0.46600000000000108</v>
      </c>
      <c r="K77" s="59">
        <v>0.72970000000000002</v>
      </c>
      <c r="L77" s="59">
        <f t="shared" si="6"/>
        <v>0.9457000000000011</v>
      </c>
    </row>
    <row r="78" spans="1:22" x14ac:dyDescent="0.3">
      <c r="A78" s="57" t="s">
        <v>159</v>
      </c>
      <c r="B78" s="57" t="s">
        <v>439</v>
      </c>
      <c r="C78" s="38" t="s">
        <v>658</v>
      </c>
      <c r="D78" s="58">
        <v>42768</v>
      </c>
      <c r="F78" s="57">
        <v>5297741.858</v>
      </c>
      <c r="G78" s="57">
        <v>1644123.068</v>
      </c>
      <c r="H78" s="57">
        <v>13.010999999999999</v>
      </c>
      <c r="I78" s="57" t="s">
        <v>682</v>
      </c>
      <c r="J78" s="59">
        <f t="shared" si="7"/>
        <v>0.65399999999999991</v>
      </c>
      <c r="K78" s="59">
        <v>0.72970000000000002</v>
      </c>
      <c r="L78" s="59">
        <f t="shared" si="6"/>
        <v>1.1336999999999999</v>
      </c>
    </row>
    <row r="79" spans="1:22" x14ac:dyDescent="0.3">
      <c r="A79" s="57" t="s">
        <v>162</v>
      </c>
      <c r="B79" s="57" t="s">
        <v>439</v>
      </c>
      <c r="C79" s="38" t="s">
        <v>658</v>
      </c>
      <c r="D79" s="58">
        <v>42768</v>
      </c>
      <c r="F79" s="57">
        <v>5297742.2439999999</v>
      </c>
      <c r="G79" s="57">
        <v>1644123.4129999999</v>
      </c>
      <c r="H79" s="57">
        <v>13.114000000000001</v>
      </c>
      <c r="I79" s="57" t="s">
        <v>682</v>
      </c>
      <c r="J79" s="59">
        <f t="shared" si="7"/>
        <v>0.75700000000000145</v>
      </c>
      <c r="K79" s="59">
        <v>0.72970000000000002</v>
      </c>
      <c r="L79" s="59">
        <f t="shared" si="6"/>
        <v>1.2367000000000015</v>
      </c>
    </row>
    <row r="80" spans="1:22" x14ac:dyDescent="0.3">
      <c r="A80" s="57" t="s">
        <v>165</v>
      </c>
      <c r="B80" s="57" t="s">
        <v>439</v>
      </c>
      <c r="C80" s="38" t="s">
        <v>658</v>
      </c>
      <c r="D80" s="58">
        <v>42768</v>
      </c>
      <c r="F80" s="57">
        <v>5297742.8449999997</v>
      </c>
      <c r="G80" s="57">
        <v>1644123.8740000001</v>
      </c>
      <c r="H80" s="57">
        <v>12.972</v>
      </c>
      <c r="I80" s="57" t="s">
        <v>682</v>
      </c>
      <c r="J80" s="59">
        <f t="shared" si="7"/>
        <v>0.61500000000000021</v>
      </c>
      <c r="K80" s="59">
        <v>0.72970000000000002</v>
      </c>
      <c r="L80" s="59">
        <f t="shared" si="6"/>
        <v>1.0947000000000002</v>
      </c>
      <c r="P80" s="57" t="s">
        <v>436</v>
      </c>
      <c r="Q80" s="57" t="s">
        <v>437</v>
      </c>
      <c r="R80" s="66" t="s">
        <v>438</v>
      </c>
      <c r="T80" s="57" t="s">
        <v>680</v>
      </c>
    </row>
    <row r="81" spans="1:20" ht="15.6" x14ac:dyDescent="0.35">
      <c r="A81" s="57" t="s">
        <v>168</v>
      </c>
      <c r="B81" s="57" t="s">
        <v>439</v>
      </c>
      <c r="C81" s="38" t="s">
        <v>658</v>
      </c>
      <c r="D81" s="58">
        <v>42768</v>
      </c>
      <c r="F81" s="57">
        <v>5297745.2139999997</v>
      </c>
      <c r="G81" s="57">
        <v>1644125.3970000001</v>
      </c>
      <c r="H81" s="57">
        <v>12.99</v>
      </c>
      <c r="I81" s="57" t="s">
        <v>682</v>
      </c>
      <c r="J81" s="59">
        <f t="shared" si="7"/>
        <v>0.6330000000000009</v>
      </c>
      <c r="K81" s="59">
        <v>0.72970000000000002</v>
      </c>
      <c r="L81" s="59">
        <f t="shared" si="6"/>
        <v>1.1127000000000009</v>
      </c>
      <c r="P81" s="57">
        <v>0.27</v>
      </c>
      <c r="Q81" s="57">
        <v>1.61</v>
      </c>
      <c r="R81" s="66">
        <f>SUM(P81+(Q81-P81)*((COS(V73)+1)/2))</f>
        <v>0.72970629257610531</v>
      </c>
      <c r="T81" s="66" t="s">
        <v>679</v>
      </c>
    </row>
    <row r="82" spans="1:20" x14ac:dyDescent="0.3">
      <c r="A82" s="57" t="s">
        <v>171</v>
      </c>
      <c r="B82" s="57" t="s">
        <v>439</v>
      </c>
      <c r="C82" s="38" t="s">
        <v>658</v>
      </c>
      <c r="D82" s="58">
        <v>42768</v>
      </c>
      <c r="F82" s="57">
        <v>5297744.7379999999</v>
      </c>
      <c r="G82" s="57">
        <v>1644125.781</v>
      </c>
      <c r="H82" s="57">
        <v>12.99</v>
      </c>
      <c r="I82" s="57" t="s">
        <v>682</v>
      </c>
      <c r="J82" s="59">
        <f t="shared" si="7"/>
        <v>0.6330000000000009</v>
      </c>
      <c r="K82" s="59">
        <v>0.72970000000000002</v>
      </c>
      <c r="L82" s="59">
        <f t="shared" si="6"/>
        <v>1.1127000000000009</v>
      </c>
    </row>
    <row r="83" spans="1:20" x14ac:dyDescent="0.3">
      <c r="A83" s="57" t="s">
        <v>174</v>
      </c>
      <c r="B83" s="57" t="s">
        <v>439</v>
      </c>
      <c r="C83" s="38" t="s">
        <v>658</v>
      </c>
      <c r="D83" s="58">
        <v>42768</v>
      </c>
      <c r="F83" s="57">
        <v>5297749.9289999995</v>
      </c>
      <c r="G83" s="57">
        <v>1644122.412</v>
      </c>
      <c r="H83" s="57">
        <v>13.169</v>
      </c>
      <c r="I83" s="57" t="s">
        <v>682</v>
      </c>
      <c r="J83" s="59">
        <f t="shared" si="7"/>
        <v>0.81200000000000117</v>
      </c>
      <c r="K83" s="59">
        <v>0.72970000000000002</v>
      </c>
      <c r="L83" s="59">
        <f t="shared" si="6"/>
        <v>1.2917000000000012</v>
      </c>
    </row>
    <row r="84" spans="1:20" x14ac:dyDescent="0.3">
      <c r="A84" s="57" t="s">
        <v>177</v>
      </c>
      <c r="B84" s="57" t="s">
        <v>439</v>
      </c>
      <c r="C84" s="38" t="s">
        <v>658</v>
      </c>
      <c r="D84" s="58">
        <v>42768</v>
      </c>
      <c r="F84" s="57">
        <v>5297750.3710000003</v>
      </c>
      <c r="G84" s="57">
        <v>1644122.787</v>
      </c>
      <c r="H84" s="57">
        <v>13.013999999999999</v>
      </c>
      <c r="I84" s="57" t="s">
        <v>682</v>
      </c>
      <c r="J84" s="59">
        <f t="shared" si="7"/>
        <v>0.65700000000000003</v>
      </c>
      <c r="K84" s="59">
        <v>0.72970000000000002</v>
      </c>
      <c r="L84" s="59">
        <f t="shared" si="6"/>
        <v>1.1367</v>
      </c>
    </row>
    <row r="85" spans="1:20" x14ac:dyDescent="0.3">
      <c r="A85" s="57" t="s">
        <v>180</v>
      </c>
      <c r="B85" s="57" t="s">
        <v>439</v>
      </c>
      <c r="C85" s="38" t="s">
        <v>658</v>
      </c>
      <c r="D85" s="58">
        <v>42768</v>
      </c>
      <c r="F85" s="57">
        <v>5297757.1749999998</v>
      </c>
      <c r="G85" s="57">
        <v>1644123.9350000001</v>
      </c>
      <c r="H85" s="57">
        <v>13.444000000000001</v>
      </c>
      <c r="I85" s="57" t="s">
        <v>682</v>
      </c>
      <c r="J85" s="59">
        <f t="shared" si="7"/>
        <v>1.0870000000000015</v>
      </c>
      <c r="K85" s="59">
        <v>0.72970000000000002</v>
      </c>
      <c r="L85" s="59">
        <f t="shared" si="6"/>
        <v>1.5667000000000015</v>
      </c>
    </row>
    <row r="86" spans="1:20" x14ac:dyDescent="0.3">
      <c r="A86" s="57" t="s">
        <v>183</v>
      </c>
      <c r="B86" s="57" t="s">
        <v>439</v>
      </c>
      <c r="C86" s="38" t="s">
        <v>658</v>
      </c>
      <c r="D86" s="58">
        <v>42768</v>
      </c>
      <c r="F86" s="57">
        <v>5297758.7640000004</v>
      </c>
      <c r="G86" s="57">
        <v>1644127.4410000001</v>
      </c>
      <c r="H86" s="57">
        <v>13.260999999999999</v>
      </c>
      <c r="I86" s="57" t="s">
        <v>682</v>
      </c>
      <c r="J86" s="59">
        <f t="shared" si="7"/>
        <v>0.90399999999999991</v>
      </c>
      <c r="K86" s="59">
        <v>0.72970000000000002</v>
      </c>
      <c r="L86" s="59">
        <f t="shared" si="6"/>
        <v>1.3836999999999999</v>
      </c>
    </row>
    <row r="87" spans="1:20" x14ac:dyDescent="0.3">
      <c r="A87" s="57" t="s">
        <v>186</v>
      </c>
      <c r="B87" s="57" t="s">
        <v>439</v>
      </c>
      <c r="C87" s="38" t="s">
        <v>658</v>
      </c>
      <c r="D87" s="58">
        <v>42768</v>
      </c>
      <c r="F87" s="57">
        <v>5297760.2709999997</v>
      </c>
      <c r="G87" s="57">
        <v>1644127.4839999999</v>
      </c>
      <c r="H87" s="57">
        <v>13.257999999999999</v>
      </c>
      <c r="I87" s="57" t="s">
        <v>682</v>
      </c>
      <c r="J87" s="59">
        <f t="shared" si="7"/>
        <v>0.9009999999999998</v>
      </c>
      <c r="K87" s="59">
        <v>0.72970000000000002</v>
      </c>
      <c r="L87" s="59">
        <f t="shared" si="6"/>
        <v>1.3806999999999998</v>
      </c>
    </row>
    <row r="88" spans="1:20" x14ac:dyDescent="0.3">
      <c r="A88" s="57" t="s">
        <v>189</v>
      </c>
      <c r="B88" s="57" t="s">
        <v>439</v>
      </c>
      <c r="C88" s="38" t="s">
        <v>658</v>
      </c>
      <c r="D88" s="58">
        <v>42768</v>
      </c>
      <c r="F88" s="57">
        <v>5297761.193</v>
      </c>
      <c r="G88" s="57">
        <v>1644127.8319999999</v>
      </c>
      <c r="H88" s="57">
        <v>13.099</v>
      </c>
      <c r="I88" s="57" t="s">
        <v>682</v>
      </c>
      <c r="J88" s="59">
        <f t="shared" si="7"/>
        <v>0.74200000000000088</v>
      </c>
      <c r="K88" s="59">
        <v>0.72970000000000002</v>
      </c>
      <c r="L88" s="59">
        <f t="shared" si="6"/>
        <v>1.2217000000000009</v>
      </c>
    </row>
    <row r="89" spans="1:20" x14ac:dyDescent="0.3">
      <c r="A89" s="57" t="s">
        <v>192</v>
      </c>
      <c r="B89" s="57" t="s">
        <v>439</v>
      </c>
      <c r="C89" s="38" t="s">
        <v>658</v>
      </c>
      <c r="D89" s="58">
        <v>42768</v>
      </c>
      <c r="F89" s="57">
        <v>5297759.9539999999</v>
      </c>
      <c r="G89" s="57">
        <v>1644129.0530000001</v>
      </c>
      <c r="H89" s="57">
        <v>13.125</v>
      </c>
      <c r="I89" s="57" t="s">
        <v>682</v>
      </c>
      <c r="J89" s="59">
        <f t="shared" si="7"/>
        <v>0.76800000000000068</v>
      </c>
      <c r="K89" s="59">
        <v>0.72970000000000002</v>
      </c>
      <c r="L89" s="59">
        <f t="shared" si="6"/>
        <v>1.2477000000000007</v>
      </c>
    </row>
    <row r="90" spans="1:20" x14ac:dyDescent="0.3">
      <c r="A90" s="57" t="s">
        <v>195</v>
      </c>
      <c r="B90" s="57" t="s">
        <v>439</v>
      </c>
      <c r="C90" s="38" t="s">
        <v>658</v>
      </c>
      <c r="D90" s="58">
        <v>42768</v>
      </c>
      <c r="F90" s="57">
        <v>5297760.6129999999</v>
      </c>
      <c r="G90" s="57">
        <v>1644129.0260000001</v>
      </c>
      <c r="H90" s="57">
        <v>13.07</v>
      </c>
      <c r="I90" s="57" t="s">
        <v>682</v>
      </c>
      <c r="J90" s="59">
        <f t="shared" si="7"/>
        <v>0.71300000000000097</v>
      </c>
      <c r="K90" s="59">
        <v>0.72970000000000002</v>
      </c>
      <c r="L90" s="59">
        <f t="shared" si="6"/>
        <v>1.192700000000001</v>
      </c>
    </row>
    <row r="91" spans="1:20" x14ac:dyDescent="0.3">
      <c r="J91" s="59"/>
      <c r="K91" s="59"/>
      <c r="L91" s="59"/>
    </row>
    <row r="92" spans="1:20" x14ac:dyDescent="0.3">
      <c r="A92" s="57" t="s">
        <v>443</v>
      </c>
      <c r="B92" s="57" t="s">
        <v>447</v>
      </c>
      <c r="C92" s="38" t="s">
        <v>658</v>
      </c>
      <c r="D92" s="58">
        <v>42768</v>
      </c>
      <c r="E92" s="64">
        <v>1335</v>
      </c>
      <c r="F92" s="57">
        <v>5304028.9400000004</v>
      </c>
      <c r="G92" s="57">
        <v>1657677.2749999999</v>
      </c>
      <c r="H92" s="57">
        <v>11.645</v>
      </c>
      <c r="I92" s="57" t="s">
        <v>427</v>
      </c>
      <c r="J92" s="59"/>
      <c r="K92" s="59"/>
      <c r="L92" s="59"/>
    </row>
    <row r="93" spans="1:20" x14ac:dyDescent="0.3">
      <c r="A93" s="57" t="s">
        <v>206</v>
      </c>
      <c r="B93" s="57" t="s">
        <v>447</v>
      </c>
      <c r="C93" s="38" t="s">
        <v>658</v>
      </c>
      <c r="D93" s="58">
        <v>42768</v>
      </c>
      <c r="F93" s="57">
        <v>5304029.8490000004</v>
      </c>
      <c r="G93" s="57">
        <v>1657679.7609999999</v>
      </c>
      <c r="H93" s="57">
        <v>11.994</v>
      </c>
      <c r="I93" s="67" t="s">
        <v>11</v>
      </c>
      <c r="J93" s="59">
        <f>SUM(H93-H$92)</f>
        <v>0.3490000000000002</v>
      </c>
      <c r="K93" s="59">
        <v>0.70730000000000004</v>
      </c>
      <c r="L93" s="59">
        <f>SUM(J93:K93)-0.1</f>
        <v>0.95630000000000026</v>
      </c>
      <c r="M93" s="57">
        <v>0.1</v>
      </c>
      <c r="N93" s="59">
        <f>AVERAGE(L93:L111)</f>
        <v>1.0378263157894743</v>
      </c>
      <c r="O93" s="59">
        <f>STDEVA(L93:L111)</f>
        <v>5.9590611136927582E-2</v>
      </c>
    </row>
    <row r="94" spans="1:20" x14ac:dyDescent="0.3">
      <c r="A94" s="57" t="s">
        <v>209</v>
      </c>
      <c r="B94" s="57" t="s">
        <v>447</v>
      </c>
      <c r="C94" s="38" t="s">
        <v>658</v>
      </c>
      <c r="D94" s="58">
        <v>42768</v>
      </c>
      <c r="F94" s="57">
        <v>5304030.7189999996</v>
      </c>
      <c r="G94" s="57">
        <v>1657679.186</v>
      </c>
      <c r="H94" s="57">
        <v>12.055</v>
      </c>
      <c r="I94" s="67" t="s">
        <v>11</v>
      </c>
      <c r="J94" s="59">
        <f t="shared" ref="J94:J111" si="8">SUM(H94-H$92)</f>
        <v>0.41000000000000014</v>
      </c>
      <c r="K94" s="59">
        <v>0.70730000000000004</v>
      </c>
      <c r="L94" s="59">
        <f t="shared" ref="L94:L111" si="9">SUM(J94:K94)-0.1</f>
        <v>1.0173000000000001</v>
      </c>
    </row>
    <row r="95" spans="1:20" x14ac:dyDescent="0.3">
      <c r="A95" s="57" t="s">
        <v>212</v>
      </c>
      <c r="B95" s="57" t="s">
        <v>447</v>
      </c>
      <c r="C95" s="38" t="s">
        <v>658</v>
      </c>
      <c r="D95" s="58">
        <v>42768</v>
      </c>
      <c r="F95" s="57">
        <v>5304019.7319999998</v>
      </c>
      <c r="G95" s="57">
        <v>1657664.0830000001</v>
      </c>
      <c r="H95" s="57">
        <v>12.11</v>
      </c>
      <c r="I95" s="67" t="s">
        <v>11</v>
      </c>
      <c r="J95" s="59">
        <f t="shared" si="8"/>
        <v>0.46499999999999986</v>
      </c>
      <c r="K95" s="59">
        <v>0.70730000000000004</v>
      </c>
      <c r="L95" s="59">
        <f t="shared" si="9"/>
        <v>1.0722999999999998</v>
      </c>
    </row>
    <row r="96" spans="1:20" x14ac:dyDescent="0.3">
      <c r="A96" s="57" t="s">
        <v>215</v>
      </c>
      <c r="B96" s="57" t="s">
        <v>447</v>
      </c>
      <c r="C96" s="38" t="s">
        <v>658</v>
      </c>
      <c r="D96" s="58">
        <v>42768</v>
      </c>
      <c r="F96" s="57">
        <v>5304024.9680000003</v>
      </c>
      <c r="G96" s="57">
        <v>1657661.888</v>
      </c>
      <c r="H96" s="57">
        <v>12.089</v>
      </c>
      <c r="I96" s="67" t="s">
        <v>11</v>
      </c>
      <c r="J96" s="59">
        <f t="shared" si="8"/>
        <v>0.44400000000000084</v>
      </c>
      <c r="K96" s="59">
        <v>0.70730000000000004</v>
      </c>
      <c r="L96" s="59">
        <f t="shared" si="9"/>
        <v>1.0513000000000008</v>
      </c>
    </row>
    <row r="97" spans="1:22" x14ac:dyDescent="0.3">
      <c r="A97" s="57" t="s">
        <v>218</v>
      </c>
      <c r="B97" s="57" t="s">
        <v>447</v>
      </c>
      <c r="C97" s="38" t="s">
        <v>658</v>
      </c>
      <c r="D97" s="58">
        <v>42768</v>
      </c>
      <c r="F97" s="57">
        <v>5304023.7829999998</v>
      </c>
      <c r="G97" s="57">
        <v>1657662.4240000001</v>
      </c>
      <c r="H97" s="57">
        <v>12.095000000000001</v>
      </c>
      <c r="I97" s="67" t="s">
        <v>11</v>
      </c>
      <c r="J97" s="59">
        <f t="shared" si="8"/>
        <v>0.45000000000000107</v>
      </c>
      <c r="K97" s="59">
        <v>0.70730000000000004</v>
      </c>
      <c r="L97" s="59">
        <f t="shared" si="9"/>
        <v>1.057300000000001</v>
      </c>
    </row>
    <row r="98" spans="1:22" x14ac:dyDescent="0.3">
      <c r="A98" s="57" t="s">
        <v>221</v>
      </c>
      <c r="B98" s="57" t="s">
        <v>447</v>
      </c>
      <c r="C98" s="38" t="s">
        <v>658</v>
      </c>
      <c r="D98" s="58">
        <v>42768</v>
      </c>
      <c r="F98" s="57">
        <v>5304026.2970000003</v>
      </c>
      <c r="G98" s="57">
        <v>1657660.2180000001</v>
      </c>
      <c r="H98" s="57">
        <v>12.125999999999999</v>
      </c>
      <c r="I98" s="67" t="s">
        <v>11</v>
      </c>
      <c r="J98" s="59">
        <f t="shared" si="8"/>
        <v>0.48099999999999987</v>
      </c>
      <c r="K98" s="59">
        <v>0.70730000000000004</v>
      </c>
      <c r="L98" s="59">
        <f t="shared" si="9"/>
        <v>1.0882999999999998</v>
      </c>
      <c r="P98" s="57" t="s">
        <v>428</v>
      </c>
      <c r="Q98" s="57" t="s">
        <v>429</v>
      </c>
      <c r="R98" s="57" t="s">
        <v>430</v>
      </c>
      <c r="T98" s="57" t="s">
        <v>431</v>
      </c>
      <c r="U98" s="57">
        <v>1</v>
      </c>
      <c r="V98" s="57" t="s">
        <v>432</v>
      </c>
    </row>
    <row r="99" spans="1:22" x14ac:dyDescent="0.3">
      <c r="A99" s="57" t="s">
        <v>224</v>
      </c>
      <c r="B99" s="57" t="s">
        <v>447</v>
      </c>
      <c r="C99" s="38" t="s">
        <v>658</v>
      </c>
      <c r="D99" s="58">
        <v>42768</v>
      </c>
      <c r="F99" s="57">
        <v>5304027.4309999999</v>
      </c>
      <c r="G99" s="57">
        <v>1657658.942</v>
      </c>
      <c r="H99" s="57">
        <v>12.115</v>
      </c>
      <c r="I99" s="67" t="s">
        <v>11</v>
      </c>
      <c r="J99" s="59">
        <f t="shared" si="8"/>
        <v>0.47000000000000064</v>
      </c>
      <c r="K99" s="59">
        <v>0.70730000000000004</v>
      </c>
      <c r="L99" s="59">
        <f t="shared" si="9"/>
        <v>1.0773000000000006</v>
      </c>
      <c r="P99" s="57">
        <v>9</v>
      </c>
      <c r="Q99" s="57">
        <v>38</v>
      </c>
      <c r="R99" s="57">
        <f>SUM(Q99/60)+P99</f>
        <v>9.6333333333333329</v>
      </c>
      <c r="S99" s="57" t="s">
        <v>433</v>
      </c>
      <c r="T99" s="57">
        <f>SUM(R101-R99)/(R100-R99)</f>
        <v>0.62698412698412709</v>
      </c>
      <c r="U99" s="57">
        <f>SUM(T99+1)</f>
        <v>1.626984126984127</v>
      </c>
      <c r="V99" s="57">
        <f>SUM(U99*PI())</f>
        <v>5.1113213808405362</v>
      </c>
    </row>
    <row r="100" spans="1:22" x14ac:dyDescent="0.3">
      <c r="A100" s="57" t="s">
        <v>227</v>
      </c>
      <c r="B100" s="57" t="s">
        <v>447</v>
      </c>
      <c r="C100" s="38" t="s">
        <v>658</v>
      </c>
      <c r="D100" s="58">
        <v>42768</v>
      </c>
      <c r="F100" s="57">
        <v>5304028.2120000003</v>
      </c>
      <c r="G100" s="57">
        <v>1657658.584</v>
      </c>
      <c r="H100" s="57">
        <v>12.103</v>
      </c>
      <c r="I100" s="67" t="s">
        <v>11</v>
      </c>
      <c r="J100" s="59">
        <f t="shared" si="8"/>
        <v>0.45800000000000018</v>
      </c>
      <c r="K100" s="59">
        <v>0.70730000000000004</v>
      </c>
      <c r="L100" s="59">
        <f t="shared" si="9"/>
        <v>1.0653000000000001</v>
      </c>
      <c r="P100" s="57">
        <v>15</v>
      </c>
      <c r="Q100" s="57">
        <v>56</v>
      </c>
      <c r="R100" s="57">
        <f>SUM(Q100/60)+P100</f>
        <v>15.933333333333334</v>
      </c>
      <c r="S100" s="57" t="s">
        <v>434</v>
      </c>
    </row>
    <row r="101" spans="1:22" x14ac:dyDescent="0.3">
      <c r="A101" s="57" t="s">
        <v>230</v>
      </c>
      <c r="B101" s="57" t="s">
        <v>447</v>
      </c>
      <c r="C101" s="38" t="s">
        <v>658</v>
      </c>
      <c r="D101" s="58">
        <v>42768</v>
      </c>
      <c r="F101" s="57">
        <v>5304028.1490000002</v>
      </c>
      <c r="G101" s="57">
        <v>1657658.27</v>
      </c>
      <c r="H101" s="57">
        <v>12.099</v>
      </c>
      <c r="I101" s="67" t="s">
        <v>11</v>
      </c>
      <c r="J101" s="59">
        <f t="shared" si="8"/>
        <v>0.45400000000000063</v>
      </c>
      <c r="K101" s="59">
        <v>0.70730000000000004</v>
      </c>
      <c r="L101" s="59">
        <f t="shared" si="9"/>
        <v>1.0613000000000006</v>
      </c>
      <c r="P101" s="57">
        <v>13</v>
      </c>
      <c r="Q101" s="57">
        <v>35</v>
      </c>
      <c r="R101" s="57">
        <f>SUM(Q101/60)+P101</f>
        <v>13.583333333333334</v>
      </c>
      <c r="S101" s="57" t="s">
        <v>435</v>
      </c>
    </row>
    <row r="102" spans="1:22" x14ac:dyDescent="0.3">
      <c r="A102" s="57" t="s">
        <v>233</v>
      </c>
      <c r="B102" s="57" t="s">
        <v>447</v>
      </c>
      <c r="C102" s="38" t="s">
        <v>658</v>
      </c>
      <c r="D102" s="58">
        <v>42768</v>
      </c>
      <c r="F102" s="57">
        <v>5304025.1720000003</v>
      </c>
      <c r="G102" s="57">
        <v>1657658.8759999999</v>
      </c>
      <c r="H102" s="57">
        <v>12.051</v>
      </c>
      <c r="I102" s="67" t="s">
        <v>11</v>
      </c>
      <c r="J102" s="59">
        <f t="shared" si="8"/>
        <v>0.40600000000000058</v>
      </c>
      <c r="K102" s="59">
        <v>0.70730000000000004</v>
      </c>
      <c r="L102" s="59">
        <f t="shared" si="9"/>
        <v>1.0133000000000005</v>
      </c>
    </row>
    <row r="103" spans="1:22" x14ac:dyDescent="0.3">
      <c r="A103" s="57" t="s">
        <v>236</v>
      </c>
      <c r="B103" s="57" t="s">
        <v>447</v>
      </c>
      <c r="C103" s="38" t="s">
        <v>658</v>
      </c>
      <c r="D103" s="58">
        <v>42768</v>
      </c>
      <c r="F103" s="57">
        <v>5304026.7939999998</v>
      </c>
      <c r="G103" s="57">
        <v>1657655.773</v>
      </c>
      <c r="H103" s="57">
        <v>12.086</v>
      </c>
      <c r="I103" s="67" t="s">
        <v>11</v>
      </c>
      <c r="J103" s="59">
        <f t="shared" si="8"/>
        <v>0.44100000000000072</v>
      </c>
      <c r="K103" s="59">
        <v>0.70730000000000004</v>
      </c>
      <c r="L103" s="59">
        <f t="shared" si="9"/>
        <v>1.0483000000000007</v>
      </c>
    </row>
    <row r="104" spans="1:22" x14ac:dyDescent="0.3">
      <c r="A104" s="57" t="s">
        <v>239</v>
      </c>
      <c r="B104" s="57" t="s">
        <v>447</v>
      </c>
      <c r="C104" s="38" t="s">
        <v>658</v>
      </c>
      <c r="D104" s="58">
        <v>42768</v>
      </c>
      <c r="F104" s="57">
        <v>5304026.0259999996</v>
      </c>
      <c r="G104" s="57">
        <v>1657650.916</v>
      </c>
      <c r="H104" s="57">
        <v>12.041</v>
      </c>
      <c r="I104" s="67" t="s">
        <v>11</v>
      </c>
      <c r="J104" s="59">
        <f t="shared" si="8"/>
        <v>0.3960000000000008</v>
      </c>
      <c r="K104" s="59">
        <v>0.70730000000000004</v>
      </c>
      <c r="L104" s="59">
        <f t="shared" si="9"/>
        <v>1.0033000000000007</v>
      </c>
    </row>
    <row r="105" spans="1:22" x14ac:dyDescent="0.3">
      <c r="A105" s="57" t="s">
        <v>242</v>
      </c>
      <c r="B105" s="57" t="s">
        <v>447</v>
      </c>
      <c r="C105" s="38" t="s">
        <v>658</v>
      </c>
      <c r="D105" s="58">
        <v>42768</v>
      </c>
      <c r="F105" s="57">
        <v>5304026.3810000001</v>
      </c>
      <c r="G105" s="57">
        <v>1657649.898</v>
      </c>
      <c r="H105" s="57">
        <v>12.03</v>
      </c>
      <c r="I105" s="67" t="s">
        <v>11</v>
      </c>
      <c r="J105" s="59">
        <f t="shared" si="8"/>
        <v>0.38499999999999979</v>
      </c>
      <c r="K105" s="59">
        <v>0.70730000000000004</v>
      </c>
      <c r="L105" s="59">
        <f t="shared" si="9"/>
        <v>0.99229999999999985</v>
      </c>
    </row>
    <row r="106" spans="1:22" x14ac:dyDescent="0.3">
      <c r="A106" s="57" t="s">
        <v>245</v>
      </c>
      <c r="B106" s="57" t="s">
        <v>447</v>
      </c>
      <c r="C106" s="38" t="s">
        <v>658</v>
      </c>
      <c r="D106" s="58">
        <v>42768</v>
      </c>
      <c r="F106" s="57">
        <v>5304027.3830000004</v>
      </c>
      <c r="G106" s="57">
        <v>1657649.23</v>
      </c>
      <c r="H106" s="57">
        <v>12.032999999999999</v>
      </c>
      <c r="I106" s="67" t="s">
        <v>11</v>
      </c>
      <c r="J106" s="59">
        <f t="shared" si="8"/>
        <v>0.3879999999999999</v>
      </c>
      <c r="K106" s="59">
        <v>0.70730000000000004</v>
      </c>
      <c r="L106" s="59">
        <f t="shared" si="9"/>
        <v>0.99529999999999996</v>
      </c>
      <c r="P106" s="57" t="s">
        <v>436</v>
      </c>
      <c r="Q106" s="57" t="s">
        <v>437</v>
      </c>
      <c r="R106" s="66" t="s">
        <v>438</v>
      </c>
      <c r="T106" s="57" t="s">
        <v>680</v>
      </c>
    </row>
    <row r="107" spans="1:22" ht="15.6" x14ac:dyDescent="0.35">
      <c r="A107" s="57" t="s">
        <v>248</v>
      </c>
      <c r="B107" s="57" t="s">
        <v>447</v>
      </c>
      <c r="C107" s="38" t="s">
        <v>658</v>
      </c>
      <c r="D107" s="58">
        <v>42768</v>
      </c>
      <c r="F107" s="57">
        <v>5304030.2429999998</v>
      </c>
      <c r="G107" s="57">
        <v>1657649.46</v>
      </c>
      <c r="H107" s="57">
        <v>12.022</v>
      </c>
      <c r="I107" s="67" t="s">
        <v>11</v>
      </c>
      <c r="J107" s="59">
        <f t="shared" si="8"/>
        <v>0.37700000000000067</v>
      </c>
      <c r="K107" s="59">
        <v>0.70730000000000004</v>
      </c>
      <c r="L107" s="59">
        <f t="shared" si="9"/>
        <v>0.98430000000000073</v>
      </c>
      <c r="P107" s="57">
        <v>1.7</v>
      </c>
      <c r="Q107" s="57">
        <v>0.27</v>
      </c>
      <c r="R107" s="66">
        <f>SUM(P107+(Q107-P107)*((COS(V99)+1)/2))</f>
        <v>0.70726912066359349</v>
      </c>
      <c r="T107" s="66" t="s">
        <v>679</v>
      </c>
    </row>
    <row r="108" spans="1:22" x14ac:dyDescent="0.3">
      <c r="A108" s="57" t="s">
        <v>251</v>
      </c>
      <c r="B108" s="57" t="s">
        <v>447</v>
      </c>
      <c r="C108" s="38" t="s">
        <v>658</v>
      </c>
      <c r="D108" s="58">
        <v>42768</v>
      </c>
      <c r="F108" s="57">
        <v>5304030.6950000003</v>
      </c>
      <c r="G108" s="57">
        <v>1657649.798</v>
      </c>
      <c r="H108" s="57">
        <v>11.945</v>
      </c>
      <c r="I108" s="67" t="s">
        <v>11</v>
      </c>
      <c r="J108" s="59">
        <f t="shared" si="8"/>
        <v>0.30000000000000071</v>
      </c>
      <c r="K108" s="59">
        <v>0.70730000000000004</v>
      </c>
      <c r="L108" s="59">
        <f t="shared" si="9"/>
        <v>0.90730000000000077</v>
      </c>
    </row>
    <row r="109" spans="1:22" x14ac:dyDescent="0.3">
      <c r="A109" s="57" t="s">
        <v>254</v>
      </c>
      <c r="B109" s="57" t="s">
        <v>447</v>
      </c>
      <c r="C109" s="38" t="s">
        <v>658</v>
      </c>
      <c r="D109" s="58">
        <v>42768</v>
      </c>
      <c r="F109" s="57">
        <v>5304031.99</v>
      </c>
      <c r="G109" s="57">
        <v>1657649.585</v>
      </c>
      <c r="H109" s="57">
        <v>12.22</v>
      </c>
      <c r="I109" s="67" t="s">
        <v>11</v>
      </c>
      <c r="J109" s="59">
        <f t="shared" si="8"/>
        <v>0.57500000000000107</v>
      </c>
      <c r="K109" s="59">
        <v>0.70730000000000004</v>
      </c>
      <c r="L109" s="59">
        <f t="shared" si="9"/>
        <v>1.182300000000001</v>
      </c>
    </row>
    <row r="110" spans="1:22" x14ac:dyDescent="0.3">
      <c r="A110" s="57" t="s">
        <v>260</v>
      </c>
      <c r="B110" s="57" t="s">
        <v>447</v>
      </c>
      <c r="C110" s="38" t="s">
        <v>658</v>
      </c>
      <c r="D110" s="58">
        <v>42768</v>
      </c>
      <c r="F110" s="57">
        <v>5304033.1069999998</v>
      </c>
      <c r="G110" s="57">
        <v>1657649.9639999999</v>
      </c>
      <c r="H110" s="57">
        <v>12.129</v>
      </c>
      <c r="I110" s="67" t="s">
        <v>11</v>
      </c>
      <c r="J110" s="59">
        <f t="shared" si="8"/>
        <v>0.48399999999999999</v>
      </c>
      <c r="K110" s="59">
        <v>0.70730000000000004</v>
      </c>
      <c r="L110" s="59">
        <f t="shared" si="9"/>
        <v>1.0912999999999999</v>
      </c>
    </row>
    <row r="111" spans="1:22" x14ac:dyDescent="0.3">
      <c r="A111" s="57" t="s">
        <v>263</v>
      </c>
      <c r="B111" s="57" t="s">
        <v>447</v>
      </c>
      <c r="C111" s="38" t="s">
        <v>658</v>
      </c>
      <c r="D111" s="58">
        <v>42768</v>
      </c>
      <c r="F111" s="57">
        <v>5304029.8590000002</v>
      </c>
      <c r="G111" s="57">
        <v>1657648.74</v>
      </c>
      <c r="H111" s="57">
        <v>12.092000000000001</v>
      </c>
      <c r="I111" s="67" t="s">
        <v>11</v>
      </c>
      <c r="J111" s="59">
        <f t="shared" si="8"/>
        <v>0.44700000000000095</v>
      </c>
      <c r="K111" s="59">
        <v>0.70730000000000004</v>
      </c>
      <c r="L111" s="59">
        <f t="shared" si="9"/>
        <v>1.0543000000000009</v>
      </c>
    </row>
    <row r="112" spans="1:22" x14ac:dyDescent="0.3">
      <c r="D112" s="58"/>
      <c r="J112" s="59"/>
      <c r="K112" s="59"/>
      <c r="L112" s="59"/>
    </row>
    <row r="113" spans="1:22" x14ac:dyDescent="0.3">
      <c r="A113" s="57" t="s">
        <v>444</v>
      </c>
      <c r="B113" s="57" t="s">
        <v>447</v>
      </c>
      <c r="C113" s="38" t="s">
        <v>658</v>
      </c>
      <c r="D113" s="58">
        <v>42768</v>
      </c>
      <c r="E113" s="64">
        <v>1356</v>
      </c>
      <c r="F113" s="57">
        <v>5304077.58</v>
      </c>
      <c r="G113" s="57">
        <v>1657841.1810000001</v>
      </c>
      <c r="H113" s="57">
        <v>11.529</v>
      </c>
      <c r="I113" s="57" t="s">
        <v>427</v>
      </c>
      <c r="J113" s="59"/>
      <c r="K113" s="59"/>
      <c r="L113" s="59"/>
    </row>
    <row r="114" spans="1:22" x14ac:dyDescent="0.3">
      <c r="A114" s="57" t="s">
        <v>269</v>
      </c>
      <c r="B114" s="57" t="s">
        <v>447</v>
      </c>
      <c r="C114" s="38" t="s">
        <v>658</v>
      </c>
      <c r="D114" s="58">
        <v>42768</v>
      </c>
      <c r="F114" s="57">
        <v>5304077.5020000003</v>
      </c>
      <c r="G114" s="57">
        <v>1657839.737</v>
      </c>
      <c r="H114" s="57">
        <v>12.023999999999999</v>
      </c>
      <c r="I114" s="67" t="s">
        <v>11</v>
      </c>
      <c r="J114" s="59">
        <f>SUM(H114-H$113)</f>
        <v>0.49499999999999922</v>
      </c>
      <c r="K114" s="59">
        <v>0.59699999999999998</v>
      </c>
      <c r="L114" s="59">
        <f t="shared" ref="L114:L132" si="10">SUM(J114:K114)-0.1</f>
        <v>0.99199999999999922</v>
      </c>
      <c r="M114" s="57">
        <v>0.1</v>
      </c>
      <c r="N114" s="59">
        <f>AVERAGE(L114:L132)</f>
        <v>0.96831578947368435</v>
      </c>
      <c r="O114" s="59">
        <f>STDEVA(L114:L132)</f>
        <v>0.10250043502974204</v>
      </c>
    </row>
    <row r="115" spans="1:22" x14ac:dyDescent="0.3">
      <c r="A115" s="57" t="s">
        <v>272</v>
      </c>
      <c r="B115" s="57" t="s">
        <v>447</v>
      </c>
      <c r="C115" s="38" t="s">
        <v>658</v>
      </c>
      <c r="D115" s="58">
        <v>42768</v>
      </c>
      <c r="F115" s="57">
        <v>5304077.7860000003</v>
      </c>
      <c r="G115" s="57">
        <v>1657840.7919999999</v>
      </c>
      <c r="H115" s="57">
        <v>11.914</v>
      </c>
      <c r="I115" s="67" t="s">
        <v>11</v>
      </c>
      <c r="J115" s="59">
        <f t="shared" ref="J115:J132" si="11">SUM(H115-H$113)</f>
        <v>0.38499999999999979</v>
      </c>
      <c r="K115" s="59">
        <v>0.59699999999999998</v>
      </c>
      <c r="L115" s="59">
        <f t="shared" si="10"/>
        <v>0.88199999999999978</v>
      </c>
      <c r="P115" s="57" t="s">
        <v>428</v>
      </c>
      <c r="Q115" s="57" t="s">
        <v>429</v>
      </c>
      <c r="R115" s="57" t="s">
        <v>430</v>
      </c>
      <c r="T115" s="57" t="s">
        <v>431</v>
      </c>
      <c r="U115" s="57">
        <v>1</v>
      </c>
      <c r="V115" s="57" t="s">
        <v>432</v>
      </c>
    </row>
    <row r="116" spans="1:22" x14ac:dyDescent="0.3">
      <c r="A116" s="57" t="s">
        <v>275</v>
      </c>
      <c r="B116" s="57" t="s">
        <v>447</v>
      </c>
      <c r="C116" s="38" t="s">
        <v>658</v>
      </c>
      <c r="D116" s="58">
        <v>42768</v>
      </c>
      <c r="F116" s="57">
        <v>5304078.1260000002</v>
      </c>
      <c r="G116" s="57">
        <v>1657841.723</v>
      </c>
      <c r="H116" s="57">
        <v>11.938000000000001</v>
      </c>
      <c r="I116" s="67" t="s">
        <v>11</v>
      </c>
      <c r="J116" s="59">
        <f t="shared" si="11"/>
        <v>0.4090000000000007</v>
      </c>
      <c r="K116" s="59">
        <v>0.59699999999999998</v>
      </c>
      <c r="L116" s="59">
        <f t="shared" si="10"/>
        <v>0.90600000000000069</v>
      </c>
      <c r="P116" s="57">
        <v>9</v>
      </c>
      <c r="Q116" s="57">
        <v>38</v>
      </c>
      <c r="R116" s="57">
        <f>SUM(Q116/60)+P116</f>
        <v>9.6333333333333329</v>
      </c>
      <c r="S116" s="57" t="s">
        <v>433</v>
      </c>
      <c r="T116" s="57">
        <f>SUM(R118-R116)/(R117-R116)</f>
        <v>0.68253968253968256</v>
      </c>
      <c r="U116" s="57">
        <f>SUM(T116+1)</f>
        <v>1.6825396825396826</v>
      </c>
      <c r="V116" s="57">
        <f>SUM(U116*PI())</f>
        <v>5.2858543060399699</v>
      </c>
    </row>
    <row r="117" spans="1:22" x14ac:dyDescent="0.3">
      <c r="A117" s="57" t="s">
        <v>278</v>
      </c>
      <c r="B117" s="57" t="s">
        <v>447</v>
      </c>
      <c r="C117" s="38" t="s">
        <v>658</v>
      </c>
      <c r="D117" s="58">
        <v>42768</v>
      </c>
      <c r="F117" s="57">
        <v>5304078.4749999996</v>
      </c>
      <c r="G117" s="57">
        <v>1657841.8119999999</v>
      </c>
      <c r="H117" s="57">
        <v>11.903</v>
      </c>
      <c r="I117" s="67" t="s">
        <v>11</v>
      </c>
      <c r="J117" s="59">
        <f t="shared" si="11"/>
        <v>0.37400000000000055</v>
      </c>
      <c r="K117" s="59">
        <v>0.59699999999999998</v>
      </c>
      <c r="L117" s="59">
        <f t="shared" si="10"/>
        <v>0.87100000000000055</v>
      </c>
      <c r="P117" s="57">
        <v>15</v>
      </c>
      <c r="Q117" s="57">
        <v>56</v>
      </c>
      <c r="R117" s="57">
        <f>SUM(Q117/60)+P117</f>
        <v>15.933333333333334</v>
      </c>
      <c r="S117" s="57" t="s">
        <v>434</v>
      </c>
    </row>
    <row r="118" spans="1:22" x14ac:dyDescent="0.3">
      <c r="A118" s="57" t="s">
        <v>281</v>
      </c>
      <c r="B118" s="57" t="s">
        <v>447</v>
      </c>
      <c r="C118" s="38" t="s">
        <v>658</v>
      </c>
      <c r="D118" s="58">
        <v>42768</v>
      </c>
      <c r="F118" s="57">
        <v>5304078.5750000002</v>
      </c>
      <c r="G118" s="57">
        <v>1657842.666</v>
      </c>
      <c r="H118" s="57">
        <v>11.784000000000001</v>
      </c>
      <c r="I118" s="67" t="s">
        <v>11</v>
      </c>
      <c r="J118" s="59">
        <f t="shared" si="11"/>
        <v>0.25500000000000078</v>
      </c>
      <c r="K118" s="59">
        <v>0.59699999999999998</v>
      </c>
      <c r="L118" s="59">
        <f t="shared" si="10"/>
        <v>0.75200000000000078</v>
      </c>
      <c r="P118" s="57">
        <v>13</v>
      </c>
      <c r="Q118" s="57">
        <v>56</v>
      </c>
      <c r="R118" s="57">
        <f>SUM(Q118/60)+P118</f>
        <v>13.933333333333334</v>
      </c>
      <c r="S118" s="57" t="s">
        <v>435</v>
      </c>
    </row>
    <row r="119" spans="1:22" x14ac:dyDescent="0.3">
      <c r="A119" s="57" t="s">
        <v>284</v>
      </c>
      <c r="B119" s="57" t="s">
        <v>447</v>
      </c>
      <c r="C119" s="38" t="s">
        <v>658</v>
      </c>
      <c r="D119" s="58">
        <v>42768</v>
      </c>
      <c r="F119" s="57">
        <v>5304080.1960000005</v>
      </c>
      <c r="G119" s="57">
        <v>1657844.4410000001</v>
      </c>
      <c r="H119" s="57">
        <v>12.06</v>
      </c>
      <c r="I119" s="67" t="s">
        <v>11</v>
      </c>
      <c r="J119" s="59">
        <f t="shared" si="11"/>
        <v>0.53100000000000058</v>
      </c>
      <c r="K119" s="59">
        <v>0.59699999999999998</v>
      </c>
      <c r="L119" s="59">
        <f t="shared" si="10"/>
        <v>1.0280000000000005</v>
      </c>
    </row>
    <row r="120" spans="1:22" x14ac:dyDescent="0.3">
      <c r="A120" s="57" t="s">
        <v>287</v>
      </c>
      <c r="B120" s="57" t="s">
        <v>447</v>
      </c>
      <c r="C120" s="38" t="s">
        <v>658</v>
      </c>
      <c r="D120" s="58">
        <v>42768</v>
      </c>
      <c r="F120" s="57">
        <v>5304082.8660000004</v>
      </c>
      <c r="G120" s="57">
        <v>1657847.03</v>
      </c>
      <c r="H120" s="57">
        <v>11.936999999999999</v>
      </c>
      <c r="I120" s="67" t="s">
        <v>11</v>
      </c>
      <c r="J120" s="59">
        <f t="shared" si="11"/>
        <v>0.40799999999999947</v>
      </c>
      <c r="K120" s="59">
        <v>0.59699999999999998</v>
      </c>
      <c r="L120" s="59">
        <f t="shared" si="10"/>
        <v>0.90499999999999947</v>
      </c>
    </row>
    <row r="121" spans="1:22" x14ac:dyDescent="0.3">
      <c r="A121" s="57" t="s">
        <v>290</v>
      </c>
      <c r="B121" s="57" t="s">
        <v>447</v>
      </c>
      <c r="C121" s="38" t="s">
        <v>658</v>
      </c>
      <c r="D121" s="58">
        <v>42768</v>
      </c>
      <c r="F121" s="57">
        <v>5304082.7070000004</v>
      </c>
      <c r="G121" s="57">
        <v>1657848.8559999999</v>
      </c>
      <c r="H121" s="57">
        <v>12.029</v>
      </c>
      <c r="I121" s="67" t="s">
        <v>11</v>
      </c>
      <c r="J121" s="59">
        <f t="shared" si="11"/>
        <v>0.5</v>
      </c>
      <c r="K121" s="59">
        <v>0.59699999999999998</v>
      </c>
      <c r="L121" s="59">
        <f t="shared" si="10"/>
        <v>0.997</v>
      </c>
    </row>
    <row r="122" spans="1:22" x14ac:dyDescent="0.3">
      <c r="A122" s="57" t="s">
        <v>293</v>
      </c>
      <c r="B122" s="57" t="s">
        <v>447</v>
      </c>
      <c r="C122" s="38" t="s">
        <v>658</v>
      </c>
      <c r="D122" s="58">
        <v>42768</v>
      </c>
      <c r="F122" s="57">
        <v>5304087.1100000003</v>
      </c>
      <c r="G122" s="57">
        <v>1657850.746</v>
      </c>
      <c r="H122" s="57">
        <v>11.989000000000001</v>
      </c>
      <c r="I122" s="67" t="s">
        <v>11</v>
      </c>
      <c r="J122" s="59">
        <f t="shared" si="11"/>
        <v>0.46000000000000085</v>
      </c>
      <c r="K122" s="59">
        <v>0.59699999999999998</v>
      </c>
      <c r="L122" s="59">
        <f t="shared" si="10"/>
        <v>0.95700000000000085</v>
      </c>
    </row>
    <row r="123" spans="1:22" x14ac:dyDescent="0.3">
      <c r="A123" s="57" t="s">
        <v>296</v>
      </c>
      <c r="B123" s="57" t="s">
        <v>447</v>
      </c>
      <c r="C123" s="38" t="s">
        <v>658</v>
      </c>
      <c r="D123" s="58">
        <v>42768</v>
      </c>
      <c r="F123" s="57">
        <v>5304085.9479999999</v>
      </c>
      <c r="G123" s="57">
        <v>1657853.165</v>
      </c>
      <c r="H123" s="57">
        <v>12.098000000000001</v>
      </c>
      <c r="I123" s="67" t="s">
        <v>11</v>
      </c>
      <c r="J123" s="59">
        <f t="shared" si="11"/>
        <v>0.56900000000000084</v>
      </c>
      <c r="K123" s="59">
        <v>0.59699999999999998</v>
      </c>
      <c r="L123" s="59">
        <f t="shared" si="10"/>
        <v>1.0660000000000007</v>
      </c>
      <c r="P123" s="57" t="s">
        <v>436</v>
      </c>
      <c r="Q123" s="57" t="s">
        <v>437</v>
      </c>
      <c r="R123" s="66" t="s">
        <v>438</v>
      </c>
      <c r="T123" s="57" t="s">
        <v>680</v>
      </c>
    </row>
    <row r="124" spans="1:22" ht="15.6" x14ac:dyDescent="0.35">
      <c r="A124" s="57" t="s">
        <v>299</v>
      </c>
      <c r="B124" s="57" t="s">
        <v>447</v>
      </c>
      <c r="C124" s="38" t="s">
        <v>658</v>
      </c>
      <c r="D124" s="58">
        <v>42768</v>
      </c>
      <c r="F124" s="57">
        <v>5304084.9460000005</v>
      </c>
      <c r="G124" s="57">
        <v>1657852.524</v>
      </c>
      <c r="H124" s="57">
        <v>12.087999999999999</v>
      </c>
      <c r="I124" s="67" t="s">
        <v>11</v>
      </c>
      <c r="J124" s="59">
        <f t="shared" si="11"/>
        <v>0.55899999999999928</v>
      </c>
      <c r="K124" s="59">
        <v>0.59699999999999998</v>
      </c>
      <c r="L124" s="59">
        <f t="shared" si="10"/>
        <v>1.0559999999999992</v>
      </c>
      <c r="P124" s="57">
        <v>1.7</v>
      </c>
      <c r="Q124" s="57">
        <v>0.27</v>
      </c>
      <c r="R124" s="68">
        <f>SUM(P124+(Q124-P124)*((COS(V116)+1)/2))</f>
        <v>0.5970794213359818</v>
      </c>
      <c r="T124" s="66" t="s">
        <v>679</v>
      </c>
    </row>
    <row r="125" spans="1:22" x14ac:dyDescent="0.3">
      <c r="A125" s="57" t="s">
        <v>302</v>
      </c>
      <c r="B125" s="57" t="s">
        <v>447</v>
      </c>
      <c r="C125" s="38" t="s">
        <v>658</v>
      </c>
      <c r="D125" s="58">
        <v>42768</v>
      </c>
      <c r="F125" s="57">
        <v>5304088.2209999999</v>
      </c>
      <c r="G125" s="57">
        <v>1657856.551</v>
      </c>
      <c r="H125" s="57">
        <v>12.198</v>
      </c>
      <c r="I125" s="67" t="s">
        <v>11</v>
      </c>
      <c r="J125" s="59">
        <f t="shared" si="11"/>
        <v>0.66900000000000048</v>
      </c>
      <c r="K125" s="59">
        <v>0.59699999999999998</v>
      </c>
      <c r="L125" s="59">
        <f t="shared" si="10"/>
        <v>1.1660000000000004</v>
      </c>
    </row>
    <row r="126" spans="1:22" x14ac:dyDescent="0.3">
      <c r="A126" s="57" t="s">
        <v>305</v>
      </c>
      <c r="B126" s="57" t="s">
        <v>447</v>
      </c>
      <c r="C126" s="38" t="s">
        <v>658</v>
      </c>
      <c r="D126" s="58">
        <v>42768</v>
      </c>
      <c r="F126" s="57">
        <v>5304088.6370000001</v>
      </c>
      <c r="G126" s="57">
        <v>1657857.3859999999</v>
      </c>
      <c r="H126" s="57">
        <v>12.129</v>
      </c>
      <c r="I126" s="67" t="s">
        <v>11</v>
      </c>
      <c r="J126" s="59">
        <f t="shared" si="11"/>
        <v>0.59999999999999964</v>
      </c>
      <c r="K126" s="59">
        <v>0.59699999999999998</v>
      </c>
      <c r="L126" s="59">
        <f t="shared" si="10"/>
        <v>1.0969999999999995</v>
      </c>
    </row>
    <row r="127" spans="1:22" x14ac:dyDescent="0.3">
      <c r="A127" s="57" t="s">
        <v>308</v>
      </c>
      <c r="B127" s="57" t="s">
        <v>447</v>
      </c>
      <c r="C127" s="38" t="s">
        <v>658</v>
      </c>
      <c r="D127" s="58">
        <v>42768</v>
      </c>
      <c r="F127" s="57">
        <v>5304089.43</v>
      </c>
      <c r="G127" s="57">
        <v>1657857.129</v>
      </c>
      <c r="H127" s="57">
        <v>12.132</v>
      </c>
      <c r="I127" s="67" t="s">
        <v>11</v>
      </c>
      <c r="J127" s="59">
        <f t="shared" si="11"/>
        <v>0.60299999999999976</v>
      </c>
      <c r="K127" s="59">
        <v>0.59699999999999998</v>
      </c>
      <c r="L127" s="59">
        <f t="shared" si="10"/>
        <v>1.0999999999999996</v>
      </c>
    </row>
    <row r="128" spans="1:22" x14ac:dyDescent="0.3">
      <c r="A128" s="57" t="s">
        <v>311</v>
      </c>
      <c r="B128" s="57" t="s">
        <v>447</v>
      </c>
      <c r="C128" s="38" t="s">
        <v>658</v>
      </c>
      <c r="D128" s="58">
        <v>42768</v>
      </c>
      <c r="F128" s="57">
        <v>5304090.7130000005</v>
      </c>
      <c r="G128" s="57">
        <v>1657855.987</v>
      </c>
      <c r="H128" s="57">
        <v>11.999000000000001</v>
      </c>
      <c r="I128" s="67" t="s">
        <v>11</v>
      </c>
      <c r="J128" s="59">
        <f t="shared" si="11"/>
        <v>0.47000000000000064</v>
      </c>
      <c r="K128" s="59">
        <v>0.59699999999999998</v>
      </c>
      <c r="L128" s="59">
        <f t="shared" si="10"/>
        <v>0.96700000000000064</v>
      </c>
    </row>
    <row r="129" spans="1:15" x14ac:dyDescent="0.3">
      <c r="A129" s="57" t="s">
        <v>314</v>
      </c>
      <c r="B129" s="57" t="s">
        <v>447</v>
      </c>
      <c r="C129" s="38" t="s">
        <v>658</v>
      </c>
      <c r="D129" s="58">
        <v>42768</v>
      </c>
      <c r="F129" s="57">
        <v>5304093.5959999999</v>
      </c>
      <c r="G129" s="57">
        <v>1657856.6510000001</v>
      </c>
      <c r="H129" s="57">
        <v>11.952</v>
      </c>
      <c r="I129" s="67" t="s">
        <v>11</v>
      </c>
      <c r="J129" s="59">
        <f t="shared" si="11"/>
        <v>0.42300000000000004</v>
      </c>
      <c r="K129" s="59">
        <v>0.59699999999999998</v>
      </c>
      <c r="L129" s="59">
        <f t="shared" si="10"/>
        <v>0.92</v>
      </c>
    </row>
    <row r="130" spans="1:15" x14ac:dyDescent="0.3">
      <c r="A130" s="57" t="s">
        <v>317</v>
      </c>
      <c r="B130" s="57" t="s">
        <v>447</v>
      </c>
      <c r="C130" s="38" t="s">
        <v>658</v>
      </c>
      <c r="D130" s="58">
        <v>42768</v>
      </c>
      <c r="F130" s="57">
        <v>5304093.6040000003</v>
      </c>
      <c r="G130" s="57">
        <v>1657861.4709999999</v>
      </c>
      <c r="H130" s="57">
        <v>12.026</v>
      </c>
      <c r="I130" s="67" t="s">
        <v>11</v>
      </c>
      <c r="J130" s="59">
        <f t="shared" si="11"/>
        <v>0.49699999999999989</v>
      </c>
      <c r="K130" s="59">
        <v>0.59699999999999998</v>
      </c>
      <c r="L130" s="59">
        <f t="shared" si="10"/>
        <v>0.99399999999999988</v>
      </c>
    </row>
    <row r="131" spans="1:15" x14ac:dyDescent="0.3">
      <c r="A131" s="57" t="s">
        <v>320</v>
      </c>
      <c r="B131" s="57" t="s">
        <v>447</v>
      </c>
      <c r="C131" s="38" t="s">
        <v>658</v>
      </c>
      <c r="D131" s="58">
        <v>42768</v>
      </c>
      <c r="F131" s="57">
        <v>5304103.7649999997</v>
      </c>
      <c r="G131" s="57">
        <v>1657859.956</v>
      </c>
      <c r="H131" s="57">
        <v>11.891</v>
      </c>
      <c r="I131" s="67" t="s">
        <v>11</v>
      </c>
      <c r="J131" s="59">
        <f t="shared" si="11"/>
        <v>0.3620000000000001</v>
      </c>
      <c r="K131" s="59">
        <v>0.59699999999999998</v>
      </c>
      <c r="L131" s="59">
        <f t="shared" si="10"/>
        <v>0.8590000000000001</v>
      </c>
    </row>
    <row r="132" spans="1:15" x14ac:dyDescent="0.3">
      <c r="A132" s="57" t="s">
        <v>323</v>
      </c>
      <c r="B132" s="57" t="s">
        <v>447</v>
      </c>
      <c r="C132" s="38" t="s">
        <v>658</v>
      </c>
      <c r="D132" s="58">
        <v>42768</v>
      </c>
      <c r="F132" s="57">
        <v>5304102.5080000004</v>
      </c>
      <c r="G132" s="57">
        <v>1657860.801</v>
      </c>
      <c r="H132" s="57">
        <v>11.914999999999999</v>
      </c>
      <c r="I132" s="67" t="s">
        <v>11</v>
      </c>
      <c r="J132" s="59">
        <f t="shared" si="11"/>
        <v>0.38599999999999923</v>
      </c>
      <c r="K132" s="59">
        <v>0.59699999999999998</v>
      </c>
      <c r="L132" s="59">
        <f t="shared" si="10"/>
        <v>0.88299999999999923</v>
      </c>
    </row>
    <row r="133" spans="1:15" x14ac:dyDescent="0.3">
      <c r="C133" s="34"/>
      <c r="J133" s="59"/>
      <c r="K133" s="59"/>
      <c r="L133" s="59"/>
    </row>
    <row r="134" spans="1:15" x14ac:dyDescent="0.3">
      <c r="A134" s="57" t="s">
        <v>448</v>
      </c>
      <c r="B134" s="57" t="s">
        <v>202</v>
      </c>
      <c r="C134" s="34" t="s">
        <v>659</v>
      </c>
      <c r="D134" s="58">
        <v>42774</v>
      </c>
      <c r="E134" s="64">
        <v>2000</v>
      </c>
      <c r="F134" s="57">
        <v>5304094.5559999999</v>
      </c>
      <c r="G134" s="57">
        <v>1657795.3049999999</v>
      </c>
      <c r="H134" s="57">
        <v>11.090999999999999</v>
      </c>
      <c r="I134" s="57" t="s">
        <v>427</v>
      </c>
      <c r="J134" s="59"/>
      <c r="K134" s="59"/>
      <c r="L134" s="59"/>
    </row>
    <row r="135" spans="1:15" x14ac:dyDescent="0.3">
      <c r="A135" s="57" t="s">
        <v>332</v>
      </c>
      <c r="B135" s="57" t="s">
        <v>202</v>
      </c>
      <c r="C135" s="34" t="s">
        <v>659</v>
      </c>
      <c r="D135" s="58">
        <v>42774</v>
      </c>
      <c r="F135" s="57">
        <v>5304094.5559999999</v>
      </c>
      <c r="G135" s="57">
        <v>1657795.3049999999</v>
      </c>
      <c r="H135" s="57">
        <v>12.298</v>
      </c>
      <c r="I135" s="67" t="s">
        <v>13</v>
      </c>
      <c r="J135" s="59">
        <f>SUM(H135-H$134)</f>
        <v>1.2070000000000007</v>
      </c>
      <c r="K135" s="59">
        <v>0.28570000000000001</v>
      </c>
      <c r="L135" s="59">
        <f>SUM(J135:K135)-0.25</f>
        <v>1.2427000000000008</v>
      </c>
      <c r="M135" s="57">
        <v>0.25</v>
      </c>
      <c r="N135" s="59">
        <f>AVERAGE(L135:L166)</f>
        <v>1.1759187500000003</v>
      </c>
      <c r="O135" s="59">
        <f>STDEVA(L135:L166)</f>
        <v>7.3314054620098018E-2</v>
      </c>
    </row>
    <row r="136" spans="1:15" x14ac:dyDescent="0.3">
      <c r="A136" s="57" t="s">
        <v>335</v>
      </c>
      <c r="B136" s="57" t="s">
        <v>202</v>
      </c>
      <c r="C136" s="34" t="s">
        <v>659</v>
      </c>
      <c r="D136" s="58">
        <v>42774</v>
      </c>
      <c r="F136" s="57">
        <v>5304092.5410000002</v>
      </c>
      <c r="G136" s="57">
        <v>1657796.2849999999</v>
      </c>
      <c r="H136" s="57">
        <v>12.194000000000001</v>
      </c>
      <c r="I136" s="67" t="s">
        <v>13</v>
      </c>
      <c r="J136" s="59">
        <f t="shared" ref="J136:J166" si="12">SUM(H136-H$134)</f>
        <v>1.1030000000000015</v>
      </c>
      <c r="K136" s="59">
        <v>0.28570000000000001</v>
      </c>
      <c r="L136" s="59">
        <f t="shared" ref="L136:L166" si="13">SUM(J136:K136)-0.25</f>
        <v>1.1387000000000016</v>
      </c>
    </row>
    <row r="137" spans="1:15" x14ac:dyDescent="0.3">
      <c r="A137" s="57" t="s">
        <v>338</v>
      </c>
      <c r="B137" s="57" t="s">
        <v>202</v>
      </c>
      <c r="C137" s="34" t="s">
        <v>659</v>
      </c>
      <c r="D137" s="58">
        <v>42774</v>
      </c>
      <c r="F137" s="57">
        <v>5304092.1140000001</v>
      </c>
      <c r="G137" s="57">
        <v>1657798.1939999999</v>
      </c>
      <c r="H137" s="57">
        <v>12.035</v>
      </c>
      <c r="I137" s="67" t="s">
        <v>13</v>
      </c>
      <c r="J137" s="59">
        <f t="shared" si="12"/>
        <v>0.94400000000000084</v>
      </c>
      <c r="K137" s="59">
        <v>0.28570000000000001</v>
      </c>
      <c r="L137" s="59">
        <f t="shared" si="13"/>
        <v>0.9797000000000009</v>
      </c>
    </row>
    <row r="138" spans="1:15" x14ac:dyDescent="0.3">
      <c r="A138" s="57" t="s">
        <v>341</v>
      </c>
      <c r="B138" s="57" t="s">
        <v>202</v>
      </c>
      <c r="C138" s="34" t="s">
        <v>659</v>
      </c>
      <c r="D138" s="58">
        <v>42774</v>
      </c>
      <c r="F138" s="57">
        <v>5304092.4239999996</v>
      </c>
      <c r="G138" s="57">
        <v>1657800.977</v>
      </c>
      <c r="H138" s="57">
        <v>12.291</v>
      </c>
      <c r="I138" s="67" t="s">
        <v>13</v>
      </c>
      <c r="J138" s="59">
        <f t="shared" si="12"/>
        <v>1.2000000000000011</v>
      </c>
      <c r="K138" s="59">
        <v>0.28570000000000001</v>
      </c>
      <c r="L138" s="59">
        <f t="shared" si="13"/>
        <v>1.2357000000000011</v>
      </c>
    </row>
    <row r="139" spans="1:15" x14ac:dyDescent="0.3">
      <c r="A139" s="57" t="s">
        <v>344</v>
      </c>
      <c r="B139" s="57" t="s">
        <v>202</v>
      </c>
      <c r="C139" s="34" t="s">
        <v>659</v>
      </c>
      <c r="D139" s="58">
        <v>42774</v>
      </c>
      <c r="F139" s="57">
        <v>5304086.6739999996</v>
      </c>
      <c r="G139" s="57">
        <v>1657795.044</v>
      </c>
      <c r="H139" s="57">
        <v>12.254</v>
      </c>
      <c r="I139" s="67" t="s">
        <v>13</v>
      </c>
      <c r="J139" s="59">
        <f t="shared" si="12"/>
        <v>1.1630000000000003</v>
      </c>
      <c r="K139" s="59">
        <v>0.28570000000000001</v>
      </c>
      <c r="L139" s="59">
        <f t="shared" si="13"/>
        <v>1.1987000000000003</v>
      </c>
    </row>
    <row r="140" spans="1:15" x14ac:dyDescent="0.3">
      <c r="A140" s="57" t="s">
        <v>347</v>
      </c>
      <c r="B140" s="57" t="s">
        <v>202</v>
      </c>
      <c r="C140" s="34" t="s">
        <v>659</v>
      </c>
      <c r="D140" s="58">
        <v>42774</v>
      </c>
      <c r="F140" s="57">
        <v>5304086.648</v>
      </c>
      <c r="G140" s="57">
        <v>1657795.4350000001</v>
      </c>
      <c r="H140" s="57">
        <v>12.243</v>
      </c>
      <c r="I140" s="67" t="s">
        <v>13</v>
      </c>
      <c r="J140" s="59">
        <f t="shared" si="12"/>
        <v>1.152000000000001</v>
      </c>
      <c r="K140" s="59">
        <v>0.28570000000000001</v>
      </c>
      <c r="L140" s="59">
        <f t="shared" si="13"/>
        <v>1.1877000000000011</v>
      </c>
    </row>
    <row r="141" spans="1:15" x14ac:dyDescent="0.3">
      <c r="A141" s="57" t="s">
        <v>350</v>
      </c>
      <c r="B141" s="57" t="s">
        <v>202</v>
      </c>
      <c r="C141" s="34" t="s">
        <v>659</v>
      </c>
      <c r="D141" s="58">
        <v>42774</v>
      </c>
      <c r="F141" s="57">
        <v>5304086.6550000003</v>
      </c>
      <c r="G141" s="57">
        <v>1657794.5160000001</v>
      </c>
      <c r="H141" s="57">
        <v>12.305999999999999</v>
      </c>
      <c r="I141" s="67" t="s">
        <v>13</v>
      </c>
      <c r="J141" s="59">
        <f t="shared" si="12"/>
        <v>1.2149999999999999</v>
      </c>
      <c r="K141" s="59">
        <v>0.28570000000000001</v>
      </c>
      <c r="L141" s="59">
        <f t="shared" si="13"/>
        <v>1.2506999999999999</v>
      </c>
    </row>
    <row r="142" spans="1:15" x14ac:dyDescent="0.3">
      <c r="A142" s="57" t="s">
        <v>352</v>
      </c>
      <c r="B142" s="57" t="s">
        <v>202</v>
      </c>
      <c r="C142" s="34" t="s">
        <v>659</v>
      </c>
      <c r="D142" s="58">
        <v>42774</v>
      </c>
      <c r="F142" s="57">
        <v>5304087.6330000004</v>
      </c>
      <c r="G142" s="57">
        <v>1657795.21</v>
      </c>
      <c r="H142" s="57">
        <v>12.167</v>
      </c>
      <c r="I142" s="67" t="s">
        <v>13</v>
      </c>
      <c r="J142" s="59">
        <f t="shared" si="12"/>
        <v>1.0760000000000005</v>
      </c>
      <c r="K142" s="59">
        <v>0.28570000000000001</v>
      </c>
      <c r="L142" s="59">
        <f t="shared" si="13"/>
        <v>1.1117000000000006</v>
      </c>
    </row>
    <row r="143" spans="1:15" x14ac:dyDescent="0.3">
      <c r="A143" s="57" t="s">
        <v>355</v>
      </c>
      <c r="B143" s="57" t="s">
        <v>202</v>
      </c>
      <c r="C143" s="34" t="s">
        <v>659</v>
      </c>
      <c r="D143" s="58">
        <v>42774</v>
      </c>
      <c r="F143" s="57">
        <v>5304088.0619999999</v>
      </c>
      <c r="G143" s="57">
        <v>1657794.683</v>
      </c>
      <c r="H143" s="57">
        <v>12.24</v>
      </c>
      <c r="I143" s="67" t="s">
        <v>13</v>
      </c>
      <c r="J143" s="59">
        <f t="shared" si="12"/>
        <v>1.1490000000000009</v>
      </c>
      <c r="K143" s="59">
        <v>0.28570000000000001</v>
      </c>
      <c r="L143" s="59">
        <f t="shared" si="13"/>
        <v>1.184700000000001</v>
      </c>
    </row>
    <row r="144" spans="1:15" x14ac:dyDescent="0.3">
      <c r="A144" s="57" t="s">
        <v>358</v>
      </c>
      <c r="B144" s="57" t="s">
        <v>202</v>
      </c>
      <c r="C144" s="34" t="s">
        <v>659</v>
      </c>
      <c r="D144" s="58">
        <v>42774</v>
      </c>
      <c r="F144" s="57">
        <v>5304088.2860000003</v>
      </c>
      <c r="G144" s="57">
        <v>1657792.825</v>
      </c>
      <c r="H144" s="57">
        <v>12.208</v>
      </c>
      <c r="I144" s="67" t="s">
        <v>13</v>
      </c>
      <c r="J144" s="59">
        <f t="shared" si="12"/>
        <v>1.1170000000000009</v>
      </c>
      <c r="K144" s="59">
        <v>0.28570000000000001</v>
      </c>
      <c r="L144" s="59">
        <f t="shared" si="13"/>
        <v>1.1527000000000009</v>
      </c>
    </row>
    <row r="145" spans="1:22" x14ac:dyDescent="0.3">
      <c r="A145" s="57" t="s">
        <v>361</v>
      </c>
      <c r="B145" s="57" t="s">
        <v>202</v>
      </c>
      <c r="C145" s="34" t="s">
        <v>659</v>
      </c>
      <c r="D145" s="58">
        <v>42774</v>
      </c>
      <c r="F145" s="57">
        <v>5304088.4929999998</v>
      </c>
      <c r="G145" s="57">
        <v>1657792.645</v>
      </c>
      <c r="H145" s="57">
        <v>12.207000000000001</v>
      </c>
      <c r="I145" s="67" t="s">
        <v>13</v>
      </c>
      <c r="J145" s="59">
        <f t="shared" si="12"/>
        <v>1.1160000000000014</v>
      </c>
      <c r="K145" s="59">
        <v>0.28570000000000001</v>
      </c>
      <c r="L145" s="59">
        <f t="shared" si="13"/>
        <v>1.1517000000000015</v>
      </c>
    </row>
    <row r="146" spans="1:22" x14ac:dyDescent="0.3">
      <c r="A146" s="57" t="s">
        <v>364</v>
      </c>
      <c r="B146" s="57" t="s">
        <v>202</v>
      </c>
      <c r="C146" s="34" t="s">
        <v>659</v>
      </c>
      <c r="D146" s="58">
        <v>42774</v>
      </c>
      <c r="F146" s="57">
        <v>5304098.62</v>
      </c>
      <c r="G146" s="57">
        <v>1657797.4809999999</v>
      </c>
      <c r="H146" s="57">
        <v>12.039</v>
      </c>
      <c r="I146" s="67" t="s">
        <v>13</v>
      </c>
      <c r="J146" s="59">
        <f t="shared" si="12"/>
        <v>0.9480000000000004</v>
      </c>
      <c r="K146" s="59">
        <v>0.28570000000000001</v>
      </c>
      <c r="L146" s="59">
        <f t="shared" si="13"/>
        <v>0.98370000000000046</v>
      </c>
    </row>
    <row r="147" spans="1:22" x14ac:dyDescent="0.3">
      <c r="A147" s="57" t="s">
        <v>367</v>
      </c>
      <c r="B147" s="57" t="s">
        <v>202</v>
      </c>
      <c r="C147" s="34" t="s">
        <v>659</v>
      </c>
      <c r="D147" s="58">
        <v>42774</v>
      </c>
      <c r="F147" s="57">
        <v>5304098.2309999997</v>
      </c>
      <c r="G147" s="57">
        <v>1657798.0390000001</v>
      </c>
      <c r="H147" s="57">
        <v>12.254</v>
      </c>
      <c r="I147" s="67" t="s">
        <v>13</v>
      </c>
      <c r="J147" s="59">
        <f t="shared" si="12"/>
        <v>1.1630000000000003</v>
      </c>
      <c r="K147" s="59">
        <v>0.28570000000000001</v>
      </c>
      <c r="L147" s="59">
        <f t="shared" si="13"/>
        <v>1.1987000000000003</v>
      </c>
      <c r="P147" s="57" t="s">
        <v>428</v>
      </c>
      <c r="Q147" s="57" t="s">
        <v>429</v>
      </c>
      <c r="R147" s="57" t="s">
        <v>430</v>
      </c>
      <c r="T147" s="57" t="s">
        <v>431</v>
      </c>
      <c r="U147" s="57">
        <v>1</v>
      </c>
      <c r="V147" s="57" t="s">
        <v>432</v>
      </c>
    </row>
    <row r="148" spans="1:22" x14ac:dyDescent="0.3">
      <c r="A148" s="57" t="s">
        <v>370</v>
      </c>
      <c r="B148" s="57" t="s">
        <v>202</v>
      </c>
      <c r="C148" s="34" t="s">
        <v>659</v>
      </c>
      <c r="D148" s="58">
        <v>42774</v>
      </c>
      <c r="F148" s="57">
        <v>5304097.9510000004</v>
      </c>
      <c r="G148" s="57">
        <v>1657798.11</v>
      </c>
      <c r="H148" s="57">
        <v>12.218999999999999</v>
      </c>
      <c r="I148" s="67" t="s">
        <v>13</v>
      </c>
      <c r="J148" s="59">
        <f t="shared" si="12"/>
        <v>1.1280000000000001</v>
      </c>
      <c r="K148" s="59">
        <v>0.28570000000000001</v>
      </c>
      <c r="L148" s="59">
        <f t="shared" si="13"/>
        <v>1.1637000000000002</v>
      </c>
      <c r="P148" s="57">
        <v>15</v>
      </c>
      <c r="Q148" s="57">
        <v>8</v>
      </c>
      <c r="R148" s="57">
        <f>SUM(Q148/60)+P148</f>
        <v>15.133333333333333</v>
      </c>
      <c r="S148" s="57" t="s">
        <v>433</v>
      </c>
      <c r="T148" s="57">
        <f>SUM(R150-R148)/(R149-R148)</f>
        <v>0.78284182305630012</v>
      </c>
      <c r="U148" s="57">
        <f>SUM(T148+1)</f>
        <v>1.7828418230563001</v>
      </c>
      <c r="V148" s="57">
        <f>SUM(U148*PI())</f>
        <v>5.6009627738263061</v>
      </c>
    </row>
    <row r="149" spans="1:22" x14ac:dyDescent="0.3">
      <c r="A149" s="57" t="s">
        <v>373</v>
      </c>
      <c r="B149" s="57" t="s">
        <v>202</v>
      </c>
      <c r="C149" s="34" t="s">
        <v>659</v>
      </c>
      <c r="D149" s="58">
        <v>42774</v>
      </c>
      <c r="F149" s="57">
        <v>5304115.585</v>
      </c>
      <c r="G149" s="57">
        <v>1657837.68</v>
      </c>
      <c r="H149" s="57">
        <v>12.317</v>
      </c>
      <c r="I149" s="67" t="s">
        <v>13</v>
      </c>
      <c r="J149" s="59">
        <f t="shared" si="12"/>
        <v>1.2260000000000009</v>
      </c>
      <c r="K149" s="59">
        <v>0.28570000000000001</v>
      </c>
      <c r="L149" s="59">
        <f t="shared" si="13"/>
        <v>1.2617000000000009</v>
      </c>
      <c r="P149" s="57">
        <v>21</v>
      </c>
      <c r="Q149" s="57">
        <v>21</v>
      </c>
      <c r="R149" s="57">
        <f>SUM(Q149/60)+P149</f>
        <v>21.35</v>
      </c>
      <c r="S149" s="57" t="s">
        <v>434</v>
      </c>
    </row>
    <row r="150" spans="1:22" x14ac:dyDescent="0.3">
      <c r="A150" s="57" t="s">
        <v>376</v>
      </c>
      <c r="B150" s="57" t="s">
        <v>202</v>
      </c>
      <c r="C150" s="34" t="s">
        <v>659</v>
      </c>
      <c r="D150" s="58">
        <v>42774</v>
      </c>
      <c r="F150" s="57">
        <v>5304114.7910000002</v>
      </c>
      <c r="G150" s="57">
        <v>1657837.0989999999</v>
      </c>
      <c r="H150" s="57">
        <v>12.298999999999999</v>
      </c>
      <c r="I150" s="67" t="s">
        <v>13</v>
      </c>
      <c r="J150" s="59">
        <f t="shared" si="12"/>
        <v>1.2080000000000002</v>
      </c>
      <c r="K150" s="59">
        <v>0.28570000000000001</v>
      </c>
      <c r="L150" s="59">
        <f t="shared" si="13"/>
        <v>1.2437000000000002</v>
      </c>
      <c r="P150" s="57">
        <v>20</v>
      </c>
      <c r="Q150" s="57">
        <v>0</v>
      </c>
      <c r="R150" s="57">
        <f>SUM(Q150/60)+P150</f>
        <v>20</v>
      </c>
      <c r="S150" s="57" t="s">
        <v>435</v>
      </c>
    </row>
    <row r="151" spans="1:22" x14ac:dyDescent="0.3">
      <c r="A151" s="57" t="s">
        <v>379</v>
      </c>
      <c r="B151" s="57" t="s">
        <v>202</v>
      </c>
      <c r="C151" s="34" t="s">
        <v>659</v>
      </c>
      <c r="D151" s="58">
        <v>42774</v>
      </c>
      <c r="F151" s="57">
        <v>5304114.0449999999</v>
      </c>
      <c r="G151" s="57">
        <v>1657838.3130000001</v>
      </c>
      <c r="H151" s="57">
        <v>12.254</v>
      </c>
      <c r="I151" s="67" t="s">
        <v>13</v>
      </c>
      <c r="J151" s="59">
        <f t="shared" si="12"/>
        <v>1.1630000000000003</v>
      </c>
      <c r="K151" s="59">
        <v>0.28570000000000001</v>
      </c>
      <c r="L151" s="59">
        <f t="shared" si="13"/>
        <v>1.1987000000000003</v>
      </c>
    </row>
    <row r="152" spans="1:22" x14ac:dyDescent="0.3">
      <c r="A152" s="57" t="s">
        <v>382</v>
      </c>
      <c r="B152" s="57" t="s">
        <v>202</v>
      </c>
      <c r="C152" s="34" t="s">
        <v>659</v>
      </c>
      <c r="D152" s="58">
        <v>42774</v>
      </c>
      <c r="F152" s="57">
        <v>5304113.6550000003</v>
      </c>
      <c r="G152" s="57">
        <v>1657839.581</v>
      </c>
      <c r="H152" s="57">
        <v>12.292</v>
      </c>
      <c r="I152" s="67" t="s">
        <v>13</v>
      </c>
      <c r="J152" s="59">
        <f t="shared" si="12"/>
        <v>1.2010000000000005</v>
      </c>
      <c r="K152" s="59">
        <v>0.28570000000000001</v>
      </c>
      <c r="L152" s="59">
        <f t="shared" si="13"/>
        <v>1.2367000000000006</v>
      </c>
    </row>
    <row r="153" spans="1:22" x14ac:dyDescent="0.3">
      <c r="A153" s="57" t="s">
        <v>385</v>
      </c>
      <c r="B153" s="57" t="s">
        <v>202</v>
      </c>
      <c r="C153" s="34" t="s">
        <v>659</v>
      </c>
      <c r="D153" s="58">
        <v>42774</v>
      </c>
      <c r="F153" s="57">
        <v>5304113.6890000002</v>
      </c>
      <c r="G153" s="57">
        <v>1657841.3359999999</v>
      </c>
      <c r="H153" s="57">
        <v>12.266</v>
      </c>
      <c r="I153" s="67" t="s">
        <v>13</v>
      </c>
      <c r="J153" s="59">
        <f t="shared" si="12"/>
        <v>1.1750000000000007</v>
      </c>
      <c r="K153" s="59">
        <v>0.28570000000000001</v>
      </c>
      <c r="L153" s="59">
        <f t="shared" si="13"/>
        <v>1.2107000000000008</v>
      </c>
    </row>
    <row r="154" spans="1:22" x14ac:dyDescent="0.3">
      <c r="A154" s="57" t="s">
        <v>388</v>
      </c>
      <c r="B154" s="57" t="s">
        <v>202</v>
      </c>
      <c r="C154" s="34" t="s">
        <v>659</v>
      </c>
      <c r="D154" s="58">
        <v>42774</v>
      </c>
      <c r="F154" s="57">
        <v>5304111.4879999999</v>
      </c>
      <c r="G154" s="57">
        <v>1657843.3640000001</v>
      </c>
      <c r="H154" s="57">
        <v>12.241</v>
      </c>
      <c r="I154" s="67" t="s">
        <v>13</v>
      </c>
      <c r="J154" s="59">
        <f t="shared" si="12"/>
        <v>1.1500000000000004</v>
      </c>
      <c r="K154" s="59">
        <v>0.28570000000000001</v>
      </c>
      <c r="L154" s="59">
        <f t="shared" si="13"/>
        <v>1.1857000000000004</v>
      </c>
    </row>
    <row r="155" spans="1:22" x14ac:dyDescent="0.3">
      <c r="A155" s="57" t="s">
        <v>391</v>
      </c>
      <c r="B155" s="57" t="s">
        <v>202</v>
      </c>
      <c r="C155" s="34" t="s">
        <v>659</v>
      </c>
      <c r="D155" s="58">
        <v>42774</v>
      </c>
      <c r="F155" s="57">
        <v>5304111.1330000004</v>
      </c>
      <c r="G155" s="57">
        <v>1657845.2609999999</v>
      </c>
      <c r="H155" s="57">
        <v>12.247999999999999</v>
      </c>
      <c r="I155" s="67" t="s">
        <v>13</v>
      </c>
      <c r="J155" s="59">
        <f t="shared" si="12"/>
        <v>1.157</v>
      </c>
      <c r="K155" s="59">
        <v>0.28570000000000001</v>
      </c>
      <c r="L155" s="59">
        <f t="shared" si="13"/>
        <v>1.1927000000000001</v>
      </c>
      <c r="P155" s="57" t="s">
        <v>436</v>
      </c>
      <c r="Q155" s="57" t="s">
        <v>437</v>
      </c>
      <c r="R155" s="66" t="s">
        <v>438</v>
      </c>
      <c r="T155" s="57" t="s">
        <v>680</v>
      </c>
    </row>
    <row r="156" spans="1:22" ht="15.6" x14ac:dyDescent="0.35">
      <c r="A156" s="57" t="s">
        <v>394</v>
      </c>
      <c r="B156" s="57" t="s">
        <v>202</v>
      </c>
      <c r="C156" s="34" t="s">
        <v>659</v>
      </c>
      <c r="D156" s="58">
        <v>42774</v>
      </c>
      <c r="F156" s="57">
        <v>5304114.0539999995</v>
      </c>
      <c r="G156" s="57">
        <v>1657845.14</v>
      </c>
      <c r="H156" s="57">
        <v>12.205</v>
      </c>
      <c r="I156" s="67" t="s">
        <v>13</v>
      </c>
      <c r="J156" s="59">
        <f t="shared" si="12"/>
        <v>1.1140000000000008</v>
      </c>
      <c r="K156" s="59">
        <v>0.28570000000000001</v>
      </c>
      <c r="L156" s="59">
        <f t="shared" si="13"/>
        <v>1.1497000000000008</v>
      </c>
      <c r="P156" s="57">
        <v>1.68</v>
      </c>
      <c r="Q156" s="57">
        <v>0.11</v>
      </c>
      <c r="R156" s="68">
        <f>SUM(P156+(Q156-P156)*((COS(V148)+1)/2))</f>
        <v>0.28570397051843743</v>
      </c>
      <c r="T156" s="66" t="s">
        <v>679</v>
      </c>
    </row>
    <row r="157" spans="1:22" x14ac:dyDescent="0.3">
      <c r="A157" s="57" t="s">
        <v>397</v>
      </c>
      <c r="B157" s="57" t="s">
        <v>202</v>
      </c>
      <c r="C157" s="34" t="s">
        <v>659</v>
      </c>
      <c r="D157" s="58">
        <v>42774</v>
      </c>
      <c r="F157" s="57">
        <v>5304120.57</v>
      </c>
      <c r="G157" s="57">
        <v>1657856.33</v>
      </c>
      <c r="H157" s="57">
        <v>12.27</v>
      </c>
      <c r="I157" s="67" t="s">
        <v>13</v>
      </c>
      <c r="J157" s="59">
        <f t="shared" si="12"/>
        <v>1.1790000000000003</v>
      </c>
      <c r="K157" s="59">
        <v>0.28570000000000001</v>
      </c>
      <c r="L157" s="59">
        <f t="shared" si="13"/>
        <v>1.2147000000000003</v>
      </c>
    </row>
    <row r="158" spans="1:22" x14ac:dyDescent="0.3">
      <c r="A158" s="57" t="s">
        <v>400</v>
      </c>
      <c r="B158" s="57" t="s">
        <v>202</v>
      </c>
      <c r="C158" s="34" t="s">
        <v>659</v>
      </c>
      <c r="D158" s="58">
        <v>42774</v>
      </c>
      <c r="F158" s="57">
        <v>5304123.227</v>
      </c>
      <c r="G158" s="57">
        <v>1657859.2930000001</v>
      </c>
      <c r="H158" s="57">
        <v>12.212</v>
      </c>
      <c r="I158" s="67" t="s">
        <v>13</v>
      </c>
      <c r="J158" s="59">
        <f t="shared" si="12"/>
        <v>1.1210000000000004</v>
      </c>
      <c r="K158" s="59">
        <v>0.28570000000000001</v>
      </c>
      <c r="L158" s="59">
        <f t="shared" si="13"/>
        <v>1.1567000000000005</v>
      </c>
    </row>
    <row r="159" spans="1:22" x14ac:dyDescent="0.3">
      <c r="A159" s="57" t="s">
        <v>403</v>
      </c>
      <c r="B159" s="57" t="s">
        <v>202</v>
      </c>
      <c r="C159" s="34" t="s">
        <v>659</v>
      </c>
      <c r="D159" s="58">
        <v>42774</v>
      </c>
      <c r="F159" s="57">
        <v>5304123.3899999997</v>
      </c>
      <c r="G159" s="57">
        <v>1657860.017</v>
      </c>
      <c r="H159" s="57">
        <v>12.228999999999999</v>
      </c>
      <c r="I159" s="67" t="s">
        <v>13</v>
      </c>
      <c r="J159" s="59">
        <f t="shared" si="12"/>
        <v>1.1379999999999999</v>
      </c>
      <c r="K159" s="59">
        <v>0.28570000000000001</v>
      </c>
      <c r="L159" s="59">
        <f t="shared" si="13"/>
        <v>1.1737</v>
      </c>
    </row>
    <row r="160" spans="1:22" x14ac:dyDescent="0.3">
      <c r="A160" s="57" t="s">
        <v>406</v>
      </c>
      <c r="B160" s="57" t="s">
        <v>202</v>
      </c>
      <c r="C160" s="34" t="s">
        <v>659</v>
      </c>
      <c r="D160" s="58">
        <v>42774</v>
      </c>
      <c r="F160" s="57">
        <v>5304123.5489999996</v>
      </c>
      <c r="G160" s="57">
        <v>1657856.6969999999</v>
      </c>
      <c r="H160" s="57">
        <v>12.22</v>
      </c>
      <c r="I160" s="67" t="s">
        <v>13</v>
      </c>
      <c r="J160" s="59">
        <f t="shared" si="12"/>
        <v>1.1290000000000013</v>
      </c>
      <c r="K160" s="59">
        <v>0.28570000000000001</v>
      </c>
      <c r="L160" s="59">
        <f t="shared" si="13"/>
        <v>1.1647000000000014</v>
      </c>
    </row>
    <row r="161" spans="1:23" x14ac:dyDescent="0.3">
      <c r="A161" s="57" t="s">
        <v>409</v>
      </c>
      <c r="B161" s="57" t="s">
        <v>202</v>
      </c>
      <c r="C161" s="34" t="s">
        <v>659</v>
      </c>
      <c r="D161" s="58">
        <v>42774</v>
      </c>
      <c r="F161" s="57">
        <v>5304125.2510000002</v>
      </c>
      <c r="G161" s="57">
        <v>1657856.2819999999</v>
      </c>
      <c r="H161" s="57">
        <v>12.2</v>
      </c>
      <c r="I161" s="67" t="s">
        <v>13</v>
      </c>
      <c r="J161" s="59">
        <f t="shared" si="12"/>
        <v>1.109</v>
      </c>
      <c r="K161" s="59">
        <v>0.28570000000000001</v>
      </c>
      <c r="L161" s="59">
        <f t="shared" si="13"/>
        <v>1.1447000000000001</v>
      </c>
    </row>
    <row r="162" spans="1:23" x14ac:dyDescent="0.3">
      <c r="A162" s="57" t="s">
        <v>412</v>
      </c>
      <c r="B162" s="57" t="s">
        <v>202</v>
      </c>
      <c r="C162" s="34" t="s">
        <v>659</v>
      </c>
      <c r="D162" s="58">
        <v>42774</v>
      </c>
      <c r="F162" s="57">
        <v>5304125.9050000003</v>
      </c>
      <c r="G162" s="57">
        <v>1657858.1910000001</v>
      </c>
      <c r="H162" s="57">
        <v>12.08</v>
      </c>
      <c r="I162" s="67" t="s">
        <v>13</v>
      </c>
      <c r="J162" s="59">
        <f t="shared" si="12"/>
        <v>0.98900000000000077</v>
      </c>
      <c r="K162" s="59">
        <v>0.28570000000000001</v>
      </c>
      <c r="L162" s="59">
        <f t="shared" si="13"/>
        <v>1.0247000000000008</v>
      </c>
    </row>
    <row r="163" spans="1:23" x14ac:dyDescent="0.3">
      <c r="A163" s="61" t="s">
        <v>415</v>
      </c>
      <c r="B163" s="61" t="s">
        <v>202</v>
      </c>
      <c r="C163" s="34" t="s">
        <v>659</v>
      </c>
      <c r="D163" s="58">
        <v>42774</v>
      </c>
      <c r="F163" s="61">
        <v>5304127.4550000001</v>
      </c>
      <c r="G163" s="61">
        <v>1657856.9909999999</v>
      </c>
      <c r="H163" s="61">
        <v>12.180999999999999</v>
      </c>
      <c r="I163" s="67" t="s">
        <v>13</v>
      </c>
      <c r="J163" s="59">
        <f t="shared" si="12"/>
        <v>1.0899999999999999</v>
      </c>
      <c r="K163" s="59">
        <v>0.28570000000000001</v>
      </c>
      <c r="L163" s="59">
        <f t="shared" si="13"/>
        <v>1.1256999999999999</v>
      </c>
    </row>
    <row r="164" spans="1:23" x14ac:dyDescent="0.3">
      <c r="A164" s="57" t="s">
        <v>418</v>
      </c>
      <c r="B164" s="57" t="s">
        <v>202</v>
      </c>
      <c r="C164" s="34" t="s">
        <v>659</v>
      </c>
      <c r="D164" s="58">
        <v>42774</v>
      </c>
      <c r="F164" s="57">
        <v>5304129.6390000004</v>
      </c>
      <c r="G164" s="57">
        <v>1657858.034</v>
      </c>
      <c r="H164" s="57">
        <v>12.259</v>
      </c>
      <c r="I164" s="67" t="s">
        <v>13</v>
      </c>
      <c r="J164" s="59">
        <f t="shared" si="12"/>
        <v>1.168000000000001</v>
      </c>
      <c r="K164" s="59">
        <v>0.28570000000000001</v>
      </c>
      <c r="L164" s="59">
        <f t="shared" si="13"/>
        <v>1.2037000000000011</v>
      </c>
    </row>
    <row r="165" spans="1:23" x14ac:dyDescent="0.3">
      <c r="A165" s="57" t="s">
        <v>421</v>
      </c>
      <c r="B165" s="57" t="s">
        <v>202</v>
      </c>
      <c r="C165" s="34" t="s">
        <v>659</v>
      </c>
      <c r="D165" s="58">
        <v>42774</v>
      </c>
      <c r="F165" s="57">
        <v>5304194.2759999996</v>
      </c>
      <c r="G165" s="57">
        <v>1657918.0090000001</v>
      </c>
      <c r="H165" s="57">
        <v>12.345000000000001</v>
      </c>
      <c r="I165" s="67" t="s">
        <v>13</v>
      </c>
      <c r="J165" s="59">
        <f t="shared" si="12"/>
        <v>1.2540000000000013</v>
      </c>
      <c r="K165" s="59">
        <v>0.28570000000000001</v>
      </c>
      <c r="L165" s="59">
        <f t="shared" si="13"/>
        <v>1.2897000000000014</v>
      </c>
    </row>
    <row r="166" spans="1:23" x14ac:dyDescent="0.3">
      <c r="A166" s="61" t="s">
        <v>424</v>
      </c>
      <c r="B166" s="61" t="s">
        <v>202</v>
      </c>
      <c r="D166" s="58">
        <v>42774</v>
      </c>
      <c r="F166" s="61">
        <v>5304195.9009999996</v>
      </c>
      <c r="G166" s="61">
        <v>1657917.287</v>
      </c>
      <c r="H166" s="61">
        <v>12.326000000000001</v>
      </c>
      <c r="I166" s="67" t="s">
        <v>13</v>
      </c>
      <c r="J166" s="59">
        <f t="shared" si="12"/>
        <v>1.2350000000000012</v>
      </c>
      <c r="K166" s="59">
        <v>0.28570000000000001</v>
      </c>
      <c r="L166" s="59">
        <f t="shared" si="13"/>
        <v>1.2707000000000013</v>
      </c>
    </row>
    <row r="168" spans="1:23" x14ac:dyDescent="0.3">
      <c r="A168" s="57" t="s">
        <v>647</v>
      </c>
      <c r="D168" s="62">
        <v>42775</v>
      </c>
      <c r="E168" s="65">
        <v>1925</v>
      </c>
      <c r="F168" s="57">
        <v>5302639.1169999996</v>
      </c>
      <c r="G168" s="57">
        <v>1656057.1259999999</v>
      </c>
      <c r="H168" s="57">
        <v>11.66</v>
      </c>
    </row>
    <row r="169" spans="1:23" x14ac:dyDescent="0.3">
      <c r="A169" s="57" t="s">
        <v>587</v>
      </c>
      <c r="B169" s="57" t="s">
        <v>650</v>
      </c>
      <c r="C169" s="34" t="s">
        <v>659</v>
      </c>
      <c r="D169" s="62">
        <v>42775</v>
      </c>
      <c r="E169" s="65"/>
      <c r="F169" s="57">
        <v>5302631.8459999999</v>
      </c>
      <c r="G169" s="57">
        <v>1656058.203</v>
      </c>
      <c r="H169" s="57">
        <v>11.638999999999999</v>
      </c>
      <c r="I169" s="67" t="s">
        <v>651</v>
      </c>
      <c r="J169" s="59">
        <f>SUM(H169-H$168)</f>
        <v>-2.1000000000000796E-2</v>
      </c>
      <c r="K169" s="59">
        <v>0.79359999999999997</v>
      </c>
      <c r="L169" s="59">
        <f>SUM(J169:K169)-0.1</f>
        <v>0.6725999999999992</v>
      </c>
      <c r="M169" s="57">
        <v>0.1</v>
      </c>
      <c r="N169" s="59">
        <f>AVERAGE(L169:L196)</f>
        <v>0.85044999999999982</v>
      </c>
      <c r="O169" s="59">
        <f>STDEVA(L169:L196)</f>
        <v>0.11907329675456142</v>
      </c>
    </row>
    <row r="170" spans="1:23" x14ac:dyDescent="0.3">
      <c r="A170" s="57" t="s">
        <v>590</v>
      </c>
      <c r="B170" s="57" t="s">
        <v>650</v>
      </c>
      <c r="C170" s="34" t="s">
        <v>659</v>
      </c>
      <c r="D170" s="62">
        <v>42775</v>
      </c>
      <c r="E170" s="65"/>
      <c r="F170" s="57">
        <v>5302633.1310000001</v>
      </c>
      <c r="G170" s="57">
        <v>1656056.9509999999</v>
      </c>
      <c r="H170" s="57">
        <v>11.664</v>
      </c>
      <c r="I170" s="67" t="s">
        <v>651</v>
      </c>
      <c r="J170" s="59">
        <f t="shared" ref="J170:J188" si="14">SUM(H170-H$168)</f>
        <v>3.9999999999995595E-3</v>
      </c>
      <c r="K170" s="59">
        <v>0.79359999999999997</v>
      </c>
      <c r="L170" s="59">
        <f t="shared" ref="L170:L188" si="15">SUM(J170:K170)-0.1</f>
        <v>0.69759999999999955</v>
      </c>
      <c r="N170" s="63"/>
    </row>
    <row r="171" spans="1:23" x14ac:dyDescent="0.3">
      <c r="A171" s="57" t="s">
        <v>593</v>
      </c>
      <c r="B171" s="57" t="s">
        <v>650</v>
      </c>
      <c r="C171" s="34" t="s">
        <v>659</v>
      </c>
      <c r="D171" s="62">
        <v>42775</v>
      </c>
      <c r="E171" s="65"/>
      <c r="F171" s="57">
        <v>5302633.9189999998</v>
      </c>
      <c r="G171" s="57">
        <v>1656057.7290000001</v>
      </c>
      <c r="H171" s="57">
        <v>11.688000000000001</v>
      </c>
      <c r="I171" s="67" t="s">
        <v>651</v>
      </c>
      <c r="J171" s="59">
        <f t="shared" si="14"/>
        <v>2.8000000000000469E-2</v>
      </c>
      <c r="K171" s="59">
        <v>0.79359999999999997</v>
      </c>
      <c r="L171" s="59">
        <f t="shared" si="15"/>
        <v>0.72160000000000046</v>
      </c>
      <c r="N171" s="63"/>
    </row>
    <row r="172" spans="1:23" x14ac:dyDescent="0.3">
      <c r="A172" s="57" t="s">
        <v>596</v>
      </c>
      <c r="B172" s="57" t="s">
        <v>650</v>
      </c>
      <c r="C172" s="34" t="s">
        <v>659</v>
      </c>
      <c r="D172" s="62">
        <v>42775</v>
      </c>
      <c r="E172" s="65"/>
      <c r="F172" s="57">
        <v>5302634.0269999998</v>
      </c>
      <c r="G172" s="57">
        <v>1656063.4709999999</v>
      </c>
      <c r="H172" s="57">
        <v>11.718</v>
      </c>
      <c r="I172" s="67" t="s">
        <v>651</v>
      </c>
      <c r="J172" s="59">
        <f t="shared" si="14"/>
        <v>5.7999999999999829E-2</v>
      </c>
      <c r="K172" s="59">
        <v>0.79359999999999997</v>
      </c>
      <c r="L172" s="59">
        <f t="shared" si="15"/>
        <v>0.75159999999999982</v>
      </c>
      <c r="N172" s="63"/>
    </row>
    <row r="173" spans="1:23" x14ac:dyDescent="0.3">
      <c r="A173" s="57" t="s">
        <v>599</v>
      </c>
      <c r="B173" s="57" t="s">
        <v>650</v>
      </c>
      <c r="C173" s="34" t="s">
        <v>659</v>
      </c>
      <c r="D173" s="62">
        <v>42775</v>
      </c>
      <c r="E173" s="65"/>
      <c r="F173" s="57">
        <v>5302632.2939999998</v>
      </c>
      <c r="G173" s="57">
        <v>1656062.709</v>
      </c>
      <c r="H173" s="57">
        <v>11.619</v>
      </c>
      <c r="I173" s="67" t="s">
        <v>651</v>
      </c>
      <c r="J173" s="59">
        <f t="shared" si="14"/>
        <v>-4.1000000000000369E-2</v>
      </c>
      <c r="K173" s="59">
        <v>0.79359999999999997</v>
      </c>
      <c r="L173" s="59">
        <f t="shared" si="15"/>
        <v>0.65259999999999962</v>
      </c>
      <c r="N173" s="63"/>
      <c r="Q173" s="57" t="s">
        <v>428</v>
      </c>
      <c r="R173" s="57" t="s">
        <v>429</v>
      </c>
      <c r="S173" s="57" t="s">
        <v>430</v>
      </c>
      <c r="U173" s="57" t="s">
        <v>431</v>
      </c>
      <c r="V173" s="57">
        <v>1</v>
      </c>
      <c r="W173" s="57" t="s">
        <v>432</v>
      </c>
    </row>
    <row r="174" spans="1:23" x14ac:dyDescent="0.3">
      <c r="A174" s="57" t="s">
        <v>602</v>
      </c>
      <c r="B174" s="57" t="s">
        <v>650</v>
      </c>
      <c r="C174" s="34" t="s">
        <v>659</v>
      </c>
      <c r="D174" s="62">
        <v>42775</v>
      </c>
      <c r="E174" s="65"/>
      <c r="F174" s="57">
        <v>5302662.7390000001</v>
      </c>
      <c r="G174" s="57">
        <v>1656027.0360000001</v>
      </c>
      <c r="H174" s="57">
        <v>11.69</v>
      </c>
      <c r="I174" s="67" t="s">
        <v>651</v>
      </c>
      <c r="J174" s="59">
        <f t="shared" si="14"/>
        <v>2.9999999999999361E-2</v>
      </c>
      <c r="K174" s="59">
        <v>0.79359999999999997</v>
      </c>
      <c r="L174" s="59">
        <f t="shared" si="15"/>
        <v>0.72359999999999935</v>
      </c>
      <c r="N174" s="63"/>
      <c r="Q174" s="57">
        <v>16</v>
      </c>
      <c r="R174" s="57">
        <v>3</v>
      </c>
      <c r="S174" s="57">
        <f>SUM(R174/60)+Q174</f>
        <v>16.05</v>
      </c>
      <c r="T174" s="57" t="s">
        <v>433</v>
      </c>
      <c r="U174" s="57">
        <f>SUM(S176-S174)/(S175-S174)</f>
        <v>0.54301075268817223</v>
      </c>
      <c r="V174" s="57">
        <f>SUM(U174+1)</f>
        <v>1.5430107526881722</v>
      </c>
      <c r="W174" s="57">
        <f>SUM(V174*PI())</f>
        <v>4.8475112450552187</v>
      </c>
    </row>
    <row r="175" spans="1:23" x14ac:dyDescent="0.3">
      <c r="A175" s="57" t="s">
        <v>605</v>
      </c>
      <c r="B175" s="57" t="s">
        <v>650</v>
      </c>
      <c r="C175" s="34" t="s">
        <v>659</v>
      </c>
      <c r="D175" s="62">
        <v>42775</v>
      </c>
      <c r="E175" s="65"/>
      <c r="F175" s="57">
        <v>5302661.4289999995</v>
      </c>
      <c r="G175" s="57">
        <v>1656026.38</v>
      </c>
      <c r="H175" s="57">
        <v>11.707000000000001</v>
      </c>
      <c r="I175" s="67" t="s">
        <v>651</v>
      </c>
      <c r="J175" s="59">
        <f t="shared" si="14"/>
        <v>4.7000000000000597E-2</v>
      </c>
      <c r="K175" s="59">
        <v>0.79359999999999997</v>
      </c>
      <c r="L175" s="59">
        <f t="shared" si="15"/>
        <v>0.74060000000000059</v>
      </c>
      <c r="N175" s="63"/>
      <c r="Q175" s="57">
        <v>22</v>
      </c>
      <c r="R175" s="57">
        <v>15</v>
      </c>
      <c r="S175" s="57">
        <f>SUM(R175/60)+Q175</f>
        <v>22.25</v>
      </c>
      <c r="T175" s="57" t="s">
        <v>434</v>
      </c>
    </row>
    <row r="176" spans="1:23" x14ac:dyDescent="0.3">
      <c r="A176" s="57" t="s">
        <v>608</v>
      </c>
      <c r="B176" s="57" t="s">
        <v>650</v>
      </c>
      <c r="C176" s="34" t="s">
        <v>659</v>
      </c>
      <c r="D176" s="62">
        <v>42775</v>
      </c>
      <c r="E176" s="65"/>
      <c r="F176" s="57">
        <v>5302667.1059999997</v>
      </c>
      <c r="G176" s="57">
        <v>1656023.091</v>
      </c>
      <c r="H176" s="57">
        <v>11.872</v>
      </c>
      <c r="I176" s="67" t="s">
        <v>651</v>
      </c>
      <c r="J176" s="59">
        <f t="shared" si="14"/>
        <v>0.21199999999999974</v>
      </c>
      <c r="K176" s="59">
        <v>0.79359999999999997</v>
      </c>
      <c r="L176" s="59">
        <f t="shared" si="15"/>
        <v>0.90559999999999985</v>
      </c>
      <c r="N176" s="63"/>
      <c r="Q176" s="57">
        <v>19</v>
      </c>
      <c r="R176" s="57">
        <v>25</v>
      </c>
      <c r="S176" s="57">
        <f>SUM(R176/60)+Q176</f>
        <v>19.416666666666668</v>
      </c>
      <c r="T176" s="57" t="s">
        <v>435</v>
      </c>
    </row>
    <row r="177" spans="1:21" x14ac:dyDescent="0.3">
      <c r="A177" s="57" t="s">
        <v>611</v>
      </c>
      <c r="B177" s="57" t="s">
        <v>650</v>
      </c>
      <c r="C177" s="34" t="s">
        <v>659</v>
      </c>
      <c r="D177" s="62">
        <v>42775</v>
      </c>
      <c r="E177" s="65"/>
      <c r="F177" s="57">
        <v>5302665.57</v>
      </c>
      <c r="G177" s="57">
        <v>1656021.3319999999</v>
      </c>
      <c r="H177" s="57">
        <v>11.898999999999999</v>
      </c>
      <c r="I177" s="67" t="s">
        <v>651</v>
      </c>
      <c r="J177" s="59">
        <f t="shared" si="14"/>
        <v>0.23899999999999899</v>
      </c>
      <c r="K177" s="59">
        <v>0.79359999999999997</v>
      </c>
      <c r="L177" s="59">
        <f t="shared" si="15"/>
        <v>0.9325999999999991</v>
      </c>
      <c r="N177" s="63"/>
    </row>
    <row r="178" spans="1:21" x14ac:dyDescent="0.3">
      <c r="A178" s="57" t="s">
        <v>614</v>
      </c>
      <c r="B178" s="57" t="s">
        <v>650</v>
      </c>
      <c r="C178" s="34" t="s">
        <v>659</v>
      </c>
      <c r="D178" s="62">
        <v>42775</v>
      </c>
      <c r="E178" s="65"/>
      <c r="F178" s="57">
        <v>5302665.8839999996</v>
      </c>
      <c r="G178" s="57">
        <v>1656021.139</v>
      </c>
      <c r="H178" s="57">
        <v>11.881</v>
      </c>
      <c r="I178" s="67" t="s">
        <v>651</v>
      </c>
      <c r="J178" s="59">
        <f t="shared" si="14"/>
        <v>0.22100000000000009</v>
      </c>
      <c r="K178" s="59">
        <v>0.79359999999999997</v>
      </c>
      <c r="L178" s="59">
        <f t="shared" si="15"/>
        <v>0.91460000000000019</v>
      </c>
      <c r="N178" s="63"/>
    </row>
    <row r="179" spans="1:21" x14ac:dyDescent="0.3">
      <c r="A179" s="57" t="s">
        <v>617</v>
      </c>
      <c r="B179" s="57" t="s">
        <v>650</v>
      </c>
      <c r="C179" s="34" t="s">
        <v>659</v>
      </c>
      <c r="D179" s="62">
        <v>42775</v>
      </c>
      <c r="E179" s="65"/>
      <c r="F179" s="57">
        <v>5302672.6430000002</v>
      </c>
      <c r="G179" s="57">
        <v>1656014.4820000001</v>
      </c>
      <c r="H179" s="57">
        <v>11.833</v>
      </c>
      <c r="I179" s="67" t="s">
        <v>651</v>
      </c>
      <c r="J179" s="59">
        <f t="shared" si="14"/>
        <v>0.17300000000000004</v>
      </c>
      <c r="K179" s="59">
        <v>0.79359999999999997</v>
      </c>
      <c r="L179" s="59">
        <f t="shared" si="15"/>
        <v>0.86660000000000004</v>
      </c>
      <c r="N179" s="63"/>
    </row>
    <row r="180" spans="1:21" x14ac:dyDescent="0.3">
      <c r="A180" s="57" t="s">
        <v>620</v>
      </c>
      <c r="B180" s="57" t="s">
        <v>650</v>
      </c>
      <c r="C180" s="34" t="s">
        <v>659</v>
      </c>
      <c r="D180" s="62">
        <v>42775</v>
      </c>
      <c r="E180" s="65"/>
      <c r="F180" s="57">
        <v>5302672.9380000001</v>
      </c>
      <c r="G180" s="57">
        <v>1656015.5589999999</v>
      </c>
      <c r="H180" s="57">
        <v>11.851000000000001</v>
      </c>
      <c r="I180" s="67" t="s">
        <v>651</v>
      </c>
      <c r="J180" s="59">
        <f t="shared" si="14"/>
        <v>0.19100000000000072</v>
      </c>
      <c r="K180" s="59">
        <v>0.79359999999999997</v>
      </c>
      <c r="L180" s="59">
        <f t="shared" si="15"/>
        <v>0.88460000000000072</v>
      </c>
      <c r="N180" s="63"/>
    </row>
    <row r="181" spans="1:21" x14ac:dyDescent="0.3">
      <c r="A181" s="57" t="s">
        <v>623</v>
      </c>
      <c r="B181" s="57" t="s">
        <v>650</v>
      </c>
      <c r="C181" s="34" t="s">
        <v>659</v>
      </c>
      <c r="D181" s="62">
        <v>42775</v>
      </c>
      <c r="E181" s="65"/>
      <c r="F181" s="57">
        <v>5302670.6710000001</v>
      </c>
      <c r="G181" s="57">
        <v>1656013.3540000001</v>
      </c>
      <c r="H181" s="57">
        <v>11.842000000000001</v>
      </c>
      <c r="I181" s="67" t="s">
        <v>651</v>
      </c>
      <c r="J181" s="59">
        <f t="shared" si="14"/>
        <v>0.18200000000000038</v>
      </c>
      <c r="K181" s="59">
        <v>0.79359999999999997</v>
      </c>
      <c r="L181" s="59">
        <f t="shared" si="15"/>
        <v>0.87560000000000038</v>
      </c>
      <c r="N181" s="63"/>
      <c r="Q181" s="57" t="s">
        <v>436</v>
      </c>
      <c r="R181" s="57" t="s">
        <v>437</v>
      </c>
      <c r="S181" s="66" t="s">
        <v>438</v>
      </c>
      <c r="U181" s="57" t="s">
        <v>680</v>
      </c>
    </row>
    <row r="182" spans="1:21" ht="15.6" x14ac:dyDescent="0.35">
      <c r="A182" s="57" t="s">
        <v>626</v>
      </c>
      <c r="B182" s="57" t="s">
        <v>650</v>
      </c>
      <c r="C182" s="34" t="s">
        <v>659</v>
      </c>
      <c r="D182" s="62">
        <v>42775</v>
      </c>
      <c r="E182" s="65"/>
      <c r="F182" s="57">
        <v>5302669.307</v>
      </c>
      <c r="G182" s="57">
        <v>1656010.8929999999</v>
      </c>
      <c r="H182" s="57">
        <v>11.853999999999999</v>
      </c>
      <c r="I182" s="67" t="s">
        <v>651</v>
      </c>
      <c r="J182" s="59">
        <f t="shared" si="14"/>
        <v>0.19399999999999906</v>
      </c>
      <c r="K182" s="59">
        <v>0.79359999999999997</v>
      </c>
      <c r="L182" s="59">
        <f t="shared" si="15"/>
        <v>0.88759999999999906</v>
      </c>
      <c r="N182" s="63"/>
      <c r="Q182" s="57">
        <v>1.69</v>
      </c>
      <c r="R182" s="57">
        <v>0.11</v>
      </c>
      <c r="S182" s="68">
        <f>SUM(Q182+(R182-Q182)*((COS(W174)+1)/2))</f>
        <v>0.79357794484156985</v>
      </c>
      <c r="U182" s="66" t="s">
        <v>679</v>
      </c>
    </row>
    <row r="183" spans="1:21" x14ac:dyDescent="0.3">
      <c r="A183" s="57" t="s">
        <v>629</v>
      </c>
      <c r="B183" s="57" t="s">
        <v>650</v>
      </c>
      <c r="C183" s="34" t="s">
        <v>659</v>
      </c>
      <c r="D183" s="62">
        <v>42775</v>
      </c>
      <c r="E183" s="65"/>
      <c r="F183" s="57">
        <v>5302670.4119999995</v>
      </c>
      <c r="G183" s="57">
        <v>1656010.7590000001</v>
      </c>
      <c r="H183" s="57">
        <v>11.882999999999999</v>
      </c>
      <c r="I183" s="67" t="s">
        <v>651</v>
      </c>
      <c r="J183" s="59">
        <f t="shared" si="14"/>
        <v>0.22299999999999898</v>
      </c>
      <c r="K183" s="59">
        <v>0.79359999999999997</v>
      </c>
      <c r="L183" s="59">
        <f t="shared" si="15"/>
        <v>0.91659999999999908</v>
      </c>
      <c r="N183" s="63"/>
    </row>
    <row r="184" spans="1:21" x14ac:dyDescent="0.3">
      <c r="A184" s="57" t="s">
        <v>632</v>
      </c>
      <c r="B184" s="57" t="s">
        <v>650</v>
      </c>
      <c r="C184" s="34" t="s">
        <v>659</v>
      </c>
      <c r="D184" s="62">
        <v>42775</v>
      </c>
      <c r="E184" s="65"/>
      <c r="F184" s="57">
        <v>5302669.3499999996</v>
      </c>
      <c r="G184" s="57">
        <v>1656010.128</v>
      </c>
      <c r="H184" s="57">
        <v>11.906000000000001</v>
      </c>
      <c r="I184" s="67" t="s">
        <v>651</v>
      </c>
      <c r="J184" s="59">
        <f t="shared" si="14"/>
        <v>0.24600000000000044</v>
      </c>
      <c r="K184" s="59">
        <v>0.79359999999999997</v>
      </c>
      <c r="L184" s="59">
        <f t="shared" si="15"/>
        <v>0.93960000000000055</v>
      </c>
      <c r="N184" s="63"/>
    </row>
    <row r="185" spans="1:21" x14ac:dyDescent="0.3">
      <c r="A185" s="57" t="s">
        <v>635</v>
      </c>
      <c r="B185" s="57" t="s">
        <v>650</v>
      </c>
      <c r="C185" s="34" t="s">
        <v>659</v>
      </c>
      <c r="D185" s="62">
        <v>42775</v>
      </c>
      <c r="E185" s="65"/>
      <c r="F185" s="57">
        <v>5302671.415</v>
      </c>
      <c r="G185" s="57">
        <v>1656005.1780000001</v>
      </c>
      <c r="H185" s="57">
        <v>12.058</v>
      </c>
      <c r="I185" s="67" t="s">
        <v>651</v>
      </c>
      <c r="J185" s="59">
        <f t="shared" si="14"/>
        <v>0.39799999999999969</v>
      </c>
      <c r="K185" s="59">
        <v>0.79359999999999997</v>
      </c>
      <c r="L185" s="59">
        <f t="shared" si="15"/>
        <v>1.0915999999999997</v>
      </c>
      <c r="N185" s="63"/>
    </row>
    <row r="186" spans="1:21" x14ac:dyDescent="0.3">
      <c r="A186" s="57" t="s">
        <v>638</v>
      </c>
      <c r="B186" s="57" t="s">
        <v>650</v>
      </c>
      <c r="C186" s="34" t="s">
        <v>659</v>
      </c>
      <c r="D186" s="62">
        <v>42775</v>
      </c>
      <c r="E186" s="65"/>
      <c r="F186" s="57">
        <v>5302671.5</v>
      </c>
      <c r="G186" s="57">
        <v>1656006.1510000001</v>
      </c>
      <c r="H186" s="57">
        <v>11.975</v>
      </c>
      <c r="I186" s="67" t="s">
        <v>651</v>
      </c>
      <c r="J186" s="59">
        <f t="shared" si="14"/>
        <v>0.3149999999999995</v>
      </c>
      <c r="K186" s="59">
        <v>0.79359999999999997</v>
      </c>
      <c r="L186" s="59">
        <f t="shared" si="15"/>
        <v>1.0085999999999995</v>
      </c>
      <c r="N186" s="63"/>
    </row>
    <row r="187" spans="1:21" x14ac:dyDescent="0.3">
      <c r="A187" s="57" t="s">
        <v>641</v>
      </c>
      <c r="B187" s="57" t="s">
        <v>650</v>
      </c>
      <c r="C187" s="34" t="s">
        <v>659</v>
      </c>
      <c r="D187" s="62">
        <v>42775</v>
      </c>
      <c r="E187" s="65"/>
      <c r="F187" s="57">
        <v>5302671.0010000002</v>
      </c>
      <c r="G187" s="57">
        <v>1656003.4469999999</v>
      </c>
      <c r="H187" s="57">
        <v>11.87</v>
      </c>
      <c r="I187" s="67" t="s">
        <v>651</v>
      </c>
      <c r="J187" s="59">
        <f t="shared" si="14"/>
        <v>0.20999999999999908</v>
      </c>
      <c r="K187" s="59">
        <v>0.79359999999999997</v>
      </c>
      <c r="L187" s="59">
        <f t="shared" si="15"/>
        <v>0.90359999999999918</v>
      </c>
    </row>
    <row r="188" spans="1:21" x14ac:dyDescent="0.3">
      <c r="A188" s="57" t="s">
        <v>644</v>
      </c>
      <c r="B188" s="57" t="s">
        <v>650</v>
      </c>
      <c r="C188" s="34" t="s">
        <v>659</v>
      </c>
      <c r="D188" s="62">
        <v>42775</v>
      </c>
      <c r="E188" s="65"/>
      <c r="F188" s="57">
        <v>5302672.9850000003</v>
      </c>
      <c r="G188" s="57">
        <v>1655996.4890000001</v>
      </c>
      <c r="H188" s="57">
        <v>11.888</v>
      </c>
      <c r="I188" s="67" t="s">
        <v>651</v>
      </c>
      <c r="J188" s="59">
        <f t="shared" si="14"/>
        <v>0.22799999999999976</v>
      </c>
      <c r="K188" s="59">
        <v>0.79359999999999997</v>
      </c>
      <c r="L188" s="59">
        <f t="shared" si="15"/>
        <v>0.92159999999999986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9"/>
  <sheetViews>
    <sheetView zoomScaleNormal="100" workbookViewId="0">
      <pane xSplit="2" ySplit="1" topLeftCell="C2" activePane="bottomRight" state="frozen"/>
      <selection pane="topRight" activeCell="C1" sqref="C1"/>
      <selection pane="bottomLeft" activeCell="A4" sqref="A4"/>
      <selection pane="bottomRight" activeCell="N20" sqref="N20"/>
    </sheetView>
  </sheetViews>
  <sheetFormatPr defaultRowHeight="14.4" x14ac:dyDescent="0.3"/>
  <cols>
    <col min="1" max="1" width="7.33203125" style="72" customWidth="1"/>
    <col min="2" max="2" width="12.109375" style="72" customWidth="1"/>
    <col min="3" max="8" width="8.88671875" style="72"/>
    <col min="9" max="9" width="13.21875" style="72" customWidth="1"/>
    <col min="10" max="16384" width="8.88671875" style="72"/>
  </cols>
  <sheetData>
    <row r="1" spans="1:21" s="11" customFormat="1" ht="15.6" x14ac:dyDescent="0.35">
      <c r="A1" s="69" t="s">
        <v>0</v>
      </c>
      <c r="B1" s="69" t="s">
        <v>450</v>
      </c>
      <c r="C1" s="69" t="s">
        <v>2</v>
      </c>
      <c r="D1" s="69" t="s">
        <v>3</v>
      </c>
      <c r="E1" s="69" t="s">
        <v>4</v>
      </c>
      <c r="F1" s="69" t="s">
        <v>7</v>
      </c>
      <c r="G1" s="69" t="s">
        <v>8</v>
      </c>
      <c r="H1" s="69" t="s">
        <v>660</v>
      </c>
      <c r="I1" s="69" t="s">
        <v>9</v>
      </c>
      <c r="J1" s="69" t="s">
        <v>445</v>
      </c>
      <c r="K1" s="69" t="s">
        <v>438</v>
      </c>
      <c r="L1" s="69" t="s">
        <v>670</v>
      </c>
      <c r="M1" s="69" t="s">
        <v>678</v>
      </c>
      <c r="N1" s="69" t="s">
        <v>504</v>
      </c>
      <c r="O1" s="69" t="s">
        <v>498</v>
      </c>
      <c r="Q1" s="69"/>
      <c r="U1" s="70"/>
    </row>
    <row r="3" spans="1:21" x14ac:dyDescent="0.3">
      <c r="A3" s="72" t="s">
        <v>513</v>
      </c>
      <c r="B3" s="72" t="s">
        <v>505</v>
      </c>
      <c r="C3" s="72" t="s">
        <v>658</v>
      </c>
      <c r="D3" s="73">
        <v>42767</v>
      </c>
      <c r="E3" s="72">
        <v>1248</v>
      </c>
      <c r="F3" s="72">
        <v>5295524.7300000004</v>
      </c>
      <c r="G3" s="72">
        <v>1643011.6780000001</v>
      </c>
      <c r="H3" s="72">
        <v>12.275</v>
      </c>
      <c r="I3" s="72" t="s">
        <v>427</v>
      </c>
    </row>
    <row r="4" spans="1:21" x14ac:dyDescent="0.3">
      <c r="A4" s="72" t="s">
        <v>514</v>
      </c>
      <c r="B4" s="72" t="s">
        <v>505</v>
      </c>
      <c r="C4" s="72" t="s">
        <v>658</v>
      </c>
      <c r="D4" s="73">
        <v>42767</v>
      </c>
      <c r="F4" s="72">
        <v>5295524.2769999998</v>
      </c>
      <c r="G4" s="72">
        <v>1643019.9380000001</v>
      </c>
      <c r="H4" s="72">
        <v>13.228</v>
      </c>
      <c r="I4" s="74" t="s">
        <v>11</v>
      </c>
      <c r="J4" s="72">
        <f>SUM(H4-H$3)</f>
        <v>0.9529999999999994</v>
      </c>
      <c r="K4" s="72">
        <v>0.94699999999999995</v>
      </c>
      <c r="L4" s="72">
        <f>SUM(J4:K4)-M$4</f>
        <v>1.6999999999999995</v>
      </c>
      <c r="M4" s="72">
        <v>0.2</v>
      </c>
      <c r="N4" s="75">
        <f>AVERAGE(L4:L26)</f>
        <v>1.9450869565217392</v>
      </c>
      <c r="O4" s="75">
        <f>STDEVA(L4:L26)</f>
        <v>0.12693230588262333</v>
      </c>
    </row>
    <row r="5" spans="1:21" x14ac:dyDescent="0.3">
      <c r="A5" s="72" t="s">
        <v>515</v>
      </c>
      <c r="B5" s="72" t="s">
        <v>505</v>
      </c>
      <c r="C5" s="72" t="s">
        <v>658</v>
      </c>
      <c r="D5" s="73">
        <v>42767</v>
      </c>
      <c r="F5" s="72">
        <v>5295524.6540000001</v>
      </c>
      <c r="G5" s="72">
        <v>1643019.827</v>
      </c>
      <c r="H5" s="72">
        <v>13.254</v>
      </c>
      <c r="I5" s="74" t="s">
        <v>11</v>
      </c>
      <c r="J5" s="72">
        <f>SUM(H5-H$3)</f>
        <v>0.9789999999999992</v>
      </c>
      <c r="K5" s="72">
        <v>0.94699999999999995</v>
      </c>
      <c r="L5" s="72">
        <f>SUM(J5:K5)-M$4</f>
        <v>1.7259999999999993</v>
      </c>
    </row>
    <row r="6" spans="1:21" x14ac:dyDescent="0.3">
      <c r="A6" s="72" t="s">
        <v>516</v>
      </c>
      <c r="B6" s="72" t="s">
        <v>505</v>
      </c>
      <c r="C6" s="72" t="s">
        <v>658</v>
      </c>
      <c r="D6" s="73">
        <v>42767</v>
      </c>
      <c r="F6" s="72">
        <v>5295523.3310000002</v>
      </c>
      <c r="G6" s="72">
        <v>1643019.76</v>
      </c>
      <c r="H6" s="72">
        <v>13.552</v>
      </c>
      <c r="I6" s="74" t="s">
        <v>11</v>
      </c>
      <c r="J6" s="72">
        <f>SUM(H6-H$3)</f>
        <v>1.2769999999999992</v>
      </c>
      <c r="K6" s="72">
        <v>0.94699999999999995</v>
      </c>
      <c r="L6" s="72">
        <f>SUM(J6:K6)-M$4</f>
        <v>2.0239999999999991</v>
      </c>
    </row>
    <row r="7" spans="1:21" x14ac:dyDescent="0.3">
      <c r="A7" s="72" t="s">
        <v>517</v>
      </c>
      <c r="B7" s="72" t="s">
        <v>505</v>
      </c>
      <c r="C7" s="72" t="s">
        <v>658</v>
      </c>
      <c r="D7" s="73">
        <v>42767</v>
      </c>
      <c r="F7" s="72">
        <v>5295525.3310000002</v>
      </c>
      <c r="G7" s="72">
        <v>1643023.432</v>
      </c>
      <c r="H7" s="72">
        <v>13.476000000000001</v>
      </c>
      <c r="I7" s="74" t="s">
        <v>11</v>
      </c>
      <c r="J7" s="72">
        <f>SUM(H7-H$3)</f>
        <v>1.2010000000000005</v>
      </c>
      <c r="K7" s="72">
        <v>0.94699999999999995</v>
      </c>
      <c r="L7" s="72">
        <f>SUM(J7:K7)-M$4</f>
        <v>1.9480000000000006</v>
      </c>
      <c r="O7" s="72" t="s">
        <v>428</v>
      </c>
      <c r="P7" s="72" t="s">
        <v>429</v>
      </c>
      <c r="Q7" s="72" t="s">
        <v>430</v>
      </c>
      <c r="S7" s="72" t="s">
        <v>431</v>
      </c>
      <c r="T7" s="72">
        <v>1</v>
      </c>
      <c r="U7" s="72" t="s">
        <v>432</v>
      </c>
    </row>
    <row r="8" spans="1:21" x14ac:dyDescent="0.3">
      <c r="A8" s="72" t="s">
        <v>518</v>
      </c>
      <c r="B8" s="72" t="s">
        <v>505</v>
      </c>
      <c r="C8" s="72" t="s">
        <v>658</v>
      </c>
      <c r="D8" s="73">
        <v>42767</v>
      </c>
      <c r="F8" s="72">
        <v>5295525.1430000002</v>
      </c>
      <c r="G8" s="72">
        <v>1643024.2220000001</v>
      </c>
      <c r="H8" s="72">
        <v>13.676</v>
      </c>
      <c r="I8" s="74" t="s">
        <v>11</v>
      </c>
      <c r="J8" s="72">
        <f>SUM(H8-H$3)</f>
        <v>1.4009999999999998</v>
      </c>
      <c r="K8" s="72">
        <v>0.94699999999999995</v>
      </c>
      <c r="L8" s="72">
        <f>SUM(J8:K8)-M$4</f>
        <v>2.1479999999999997</v>
      </c>
      <c r="O8" s="72">
        <v>9</v>
      </c>
      <c r="P8" s="72">
        <v>13</v>
      </c>
      <c r="Q8" s="72">
        <f>SUM(P8/60)+O8</f>
        <v>9.2166666666666668</v>
      </c>
      <c r="R8" s="72" t="s">
        <v>433</v>
      </c>
      <c r="S8" s="72">
        <f>SUM(Q10-Q8)/(Q9-Q8)</f>
        <v>0.57029177718832902</v>
      </c>
      <c r="T8" s="72">
        <f>SUM(S8+1)</f>
        <v>1.5702917771883289</v>
      </c>
      <c r="U8" s="72">
        <f>SUM(T8*PI())</f>
        <v>4.9332171112073144</v>
      </c>
    </row>
    <row r="9" spans="1:21" x14ac:dyDescent="0.3">
      <c r="A9" s="72" t="s">
        <v>519</v>
      </c>
      <c r="B9" s="72" t="s">
        <v>505</v>
      </c>
      <c r="C9" s="72" t="s">
        <v>658</v>
      </c>
      <c r="D9" s="73">
        <v>42767</v>
      </c>
      <c r="F9" s="72">
        <v>5295525.5039999997</v>
      </c>
      <c r="G9" s="72">
        <v>1643024.074</v>
      </c>
      <c r="H9" s="72">
        <v>13.445</v>
      </c>
      <c r="I9" s="74" t="s">
        <v>11</v>
      </c>
      <c r="J9" s="72">
        <f>SUM(H9-H$3)</f>
        <v>1.17</v>
      </c>
      <c r="K9" s="72">
        <v>0.94699999999999995</v>
      </c>
      <c r="L9" s="72">
        <f>SUM(J9:K9)-M$4</f>
        <v>1.917</v>
      </c>
      <c r="O9" s="72">
        <v>15</v>
      </c>
      <c r="P9" s="72">
        <v>30</v>
      </c>
      <c r="Q9" s="72">
        <f>SUM(P9/60)+O9</f>
        <v>15.5</v>
      </c>
      <c r="R9" s="72" t="s">
        <v>434</v>
      </c>
    </row>
    <row r="10" spans="1:21" x14ac:dyDescent="0.3">
      <c r="A10" s="72" t="s">
        <v>520</v>
      </c>
      <c r="B10" s="72" t="s">
        <v>505</v>
      </c>
      <c r="C10" s="72" t="s">
        <v>658</v>
      </c>
      <c r="D10" s="73">
        <v>42767</v>
      </c>
      <c r="F10" s="72">
        <v>5295526.2510000002</v>
      </c>
      <c r="G10" s="72">
        <v>1643019.9809999999</v>
      </c>
      <c r="H10" s="72">
        <v>13.323</v>
      </c>
      <c r="I10" s="74" t="s">
        <v>11</v>
      </c>
      <c r="J10" s="72">
        <f>SUM(H10-H$3)</f>
        <v>1.048</v>
      </c>
      <c r="K10" s="72">
        <v>0.94699999999999995</v>
      </c>
      <c r="L10" s="72">
        <f>SUM(J10:K10)-M$4</f>
        <v>1.7950000000000002</v>
      </c>
      <c r="O10" s="72">
        <v>12</v>
      </c>
      <c r="P10" s="72">
        <v>48</v>
      </c>
      <c r="Q10" s="72">
        <f>SUM(P10/60)+O10</f>
        <v>12.8</v>
      </c>
      <c r="R10" s="72" t="s">
        <v>435</v>
      </c>
    </row>
    <row r="11" spans="1:21" x14ac:dyDescent="0.3">
      <c r="A11" s="72" t="s">
        <v>521</v>
      </c>
      <c r="B11" s="72" t="s">
        <v>505</v>
      </c>
      <c r="C11" s="72" t="s">
        <v>658</v>
      </c>
      <c r="D11" s="73">
        <v>42767</v>
      </c>
      <c r="F11" s="72">
        <v>5295526.4950000001</v>
      </c>
      <c r="G11" s="72">
        <v>1643019.7819999999</v>
      </c>
      <c r="H11" s="72">
        <v>13.342000000000001</v>
      </c>
      <c r="I11" s="74" t="s">
        <v>11</v>
      </c>
      <c r="J11" s="72">
        <f>SUM(H11-H$3)</f>
        <v>1.0670000000000002</v>
      </c>
      <c r="K11" s="72">
        <v>0.94699999999999995</v>
      </c>
      <c r="L11" s="72">
        <f>SUM(J11:K11)-M$4</f>
        <v>1.8140000000000003</v>
      </c>
    </row>
    <row r="12" spans="1:21" x14ac:dyDescent="0.3">
      <c r="A12" s="72" t="s">
        <v>522</v>
      </c>
      <c r="B12" s="72" t="s">
        <v>505</v>
      </c>
      <c r="C12" s="72" t="s">
        <v>658</v>
      </c>
      <c r="D12" s="73">
        <v>42767</v>
      </c>
      <c r="F12" s="72">
        <v>5295522.5219999999</v>
      </c>
      <c r="G12" s="72">
        <v>1643003.655</v>
      </c>
      <c r="H12" s="72">
        <v>13.467000000000001</v>
      </c>
      <c r="I12" s="74" t="s">
        <v>11</v>
      </c>
      <c r="J12" s="72">
        <f>SUM(H12-H$3)</f>
        <v>1.1920000000000002</v>
      </c>
      <c r="K12" s="72">
        <v>0.94699999999999995</v>
      </c>
      <c r="L12" s="72">
        <f>SUM(J12:K12)-M$4</f>
        <v>1.9390000000000003</v>
      </c>
    </row>
    <row r="13" spans="1:21" x14ac:dyDescent="0.3">
      <c r="A13" s="72" t="s">
        <v>523</v>
      </c>
      <c r="B13" s="72" t="s">
        <v>505</v>
      </c>
      <c r="C13" s="72" t="s">
        <v>658</v>
      </c>
      <c r="D13" s="73">
        <v>42767</v>
      </c>
      <c r="F13" s="72">
        <v>5295522.9519999996</v>
      </c>
      <c r="G13" s="72">
        <v>1643003.43</v>
      </c>
      <c r="H13" s="72">
        <v>13.42</v>
      </c>
      <c r="I13" s="74" t="s">
        <v>11</v>
      </c>
      <c r="J13" s="72">
        <f>SUM(H13-H$3)</f>
        <v>1.1449999999999996</v>
      </c>
      <c r="K13" s="72">
        <v>0.94699999999999995</v>
      </c>
      <c r="L13" s="72">
        <f>SUM(J13:K13)-M$4</f>
        <v>1.8919999999999997</v>
      </c>
      <c r="M13" s="75"/>
    </row>
    <row r="14" spans="1:21" x14ac:dyDescent="0.3">
      <c r="A14" s="72" t="s">
        <v>524</v>
      </c>
      <c r="B14" s="72" t="s">
        <v>505</v>
      </c>
      <c r="C14" s="72" t="s">
        <v>658</v>
      </c>
      <c r="D14" s="73">
        <v>42767</v>
      </c>
      <c r="F14" s="72">
        <v>5295519.5130000003</v>
      </c>
      <c r="G14" s="72">
        <v>1643006.169</v>
      </c>
      <c r="H14" s="72">
        <v>13.781000000000001</v>
      </c>
      <c r="I14" s="74" t="s">
        <v>11</v>
      </c>
      <c r="J14" s="72">
        <f>SUM(H14-H$3)</f>
        <v>1.5060000000000002</v>
      </c>
      <c r="K14" s="72">
        <v>0.94699999999999995</v>
      </c>
      <c r="L14" s="72">
        <f>SUM(J14:K14)-M$4</f>
        <v>2.2530000000000001</v>
      </c>
    </row>
    <row r="15" spans="1:21" x14ac:dyDescent="0.3">
      <c r="A15" s="72" t="s">
        <v>525</v>
      </c>
      <c r="B15" s="72" t="s">
        <v>505</v>
      </c>
      <c r="C15" s="72" t="s">
        <v>658</v>
      </c>
      <c r="D15" s="73">
        <v>42767</v>
      </c>
      <c r="F15" s="72">
        <v>5295510.7649999997</v>
      </c>
      <c r="G15" s="72">
        <v>1642989.39</v>
      </c>
      <c r="H15" s="72">
        <v>13.532999999999999</v>
      </c>
      <c r="I15" s="74" t="s">
        <v>11</v>
      </c>
      <c r="J15" s="72">
        <f>SUM(H15-H$3)</f>
        <v>1.2579999999999991</v>
      </c>
      <c r="K15" s="72">
        <v>0.94699999999999995</v>
      </c>
      <c r="L15" s="72">
        <f>SUM(J15:K15)-M$4</f>
        <v>2.004999999999999</v>
      </c>
      <c r="O15" s="72" t="s">
        <v>436</v>
      </c>
      <c r="P15" s="72" t="s">
        <v>437</v>
      </c>
      <c r="Q15" s="71" t="s">
        <v>438</v>
      </c>
      <c r="S15" s="11" t="s">
        <v>680</v>
      </c>
    </row>
    <row r="16" spans="1:21" ht="15.6" x14ac:dyDescent="0.35">
      <c r="A16" s="72" t="s">
        <v>526</v>
      </c>
      <c r="B16" s="72" t="s">
        <v>505</v>
      </c>
      <c r="C16" s="72" t="s">
        <v>658</v>
      </c>
      <c r="D16" s="73">
        <v>42767</v>
      </c>
      <c r="F16" s="72">
        <v>5295502.9950000001</v>
      </c>
      <c r="G16" s="72">
        <v>1642976.605</v>
      </c>
      <c r="H16" s="72">
        <v>13.419</v>
      </c>
      <c r="I16" s="74" t="s">
        <v>11</v>
      </c>
      <c r="J16" s="72">
        <f>SUM(H16-H$3)</f>
        <v>1.1440000000000001</v>
      </c>
      <c r="K16" s="72">
        <v>0.94699999999999995</v>
      </c>
      <c r="L16" s="72">
        <f>SUM(J16:K16)-M$4</f>
        <v>1.8910000000000002</v>
      </c>
      <c r="O16" s="72">
        <v>1.8</v>
      </c>
      <c r="P16" s="72">
        <v>0.4</v>
      </c>
      <c r="Q16" s="76">
        <f>SUM(O16+(P16-O16)*((COS(U8)+1)/2))</f>
        <v>0.94667359675949925</v>
      </c>
      <c r="S16" s="69" t="s">
        <v>683</v>
      </c>
    </row>
    <row r="17" spans="1:15" x14ac:dyDescent="0.3">
      <c r="A17" s="72" t="s">
        <v>527</v>
      </c>
      <c r="B17" s="72" t="s">
        <v>505</v>
      </c>
      <c r="C17" s="72" t="s">
        <v>658</v>
      </c>
      <c r="D17" s="73">
        <v>42767</v>
      </c>
      <c r="F17" s="72">
        <v>5295503.3590000002</v>
      </c>
      <c r="G17" s="72">
        <v>1642977.4010000001</v>
      </c>
      <c r="H17" s="72">
        <v>13.448</v>
      </c>
      <c r="I17" s="74" t="s">
        <v>11</v>
      </c>
      <c r="J17" s="72">
        <f>SUM(H17-H$3)</f>
        <v>1.173</v>
      </c>
      <c r="K17" s="72">
        <v>0.94699999999999995</v>
      </c>
      <c r="L17" s="72">
        <f>SUM(J17:K17)-M$4</f>
        <v>1.9200000000000002</v>
      </c>
    </row>
    <row r="18" spans="1:15" x14ac:dyDescent="0.3">
      <c r="A18" s="72" t="s">
        <v>528</v>
      </c>
      <c r="B18" s="72" t="s">
        <v>505</v>
      </c>
      <c r="C18" s="72" t="s">
        <v>658</v>
      </c>
      <c r="D18" s="73">
        <v>42767</v>
      </c>
      <c r="F18" s="72">
        <v>5295500.5949999997</v>
      </c>
      <c r="G18" s="72">
        <v>1642980.781</v>
      </c>
      <c r="H18" s="72">
        <v>13.573</v>
      </c>
      <c r="I18" s="74" t="s">
        <v>11</v>
      </c>
      <c r="J18" s="72">
        <f>SUM(H18-H$3)</f>
        <v>1.298</v>
      </c>
      <c r="K18" s="72">
        <v>0.94699999999999995</v>
      </c>
      <c r="L18" s="72">
        <f>SUM(J18:K18)-M$4</f>
        <v>2.0449999999999999</v>
      </c>
    </row>
    <row r="19" spans="1:15" x14ac:dyDescent="0.3">
      <c r="A19" s="72" t="s">
        <v>529</v>
      </c>
      <c r="B19" s="72" t="s">
        <v>505</v>
      </c>
      <c r="C19" s="72" t="s">
        <v>658</v>
      </c>
      <c r="D19" s="73">
        <v>42767</v>
      </c>
      <c r="F19" s="72">
        <v>5295499.6720000003</v>
      </c>
      <c r="G19" s="72">
        <v>1642980.7279999999</v>
      </c>
      <c r="H19" s="72">
        <v>13.601000000000001</v>
      </c>
      <c r="I19" s="74" t="s">
        <v>11</v>
      </c>
      <c r="J19" s="72">
        <f>SUM(H19-H$3)</f>
        <v>1.3260000000000005</v>
      </c>
      <c r="K19" s="72">
        <v>0.94699999999999995</v>
      </c>
      <c r="L19" s="72">
        <f>SUM(J19:K19)-M$4</f>
        <v>2.0730000000000004</v>
      </c>
    </row>
    <row r="20" spans="1:15" x14ac:dyDescent="0.3">
      <c r="A20" s="72" t="s">
        <v>530</v>
      </c>
      <c r="B20" s="72" t="s">
        <v>505</v>
      </c>
      <c r="C20" s="72" t="s">
        <v>658</v>
      </c>
      <c r="D20" s="73">
        <v>42767</v>
      </c>
      <c r="F20" s="72">
        <v>5295492.4869999997</v>
      </c>
      <c r="G20" s="72">
        <v>1642980.5460000001</v>
      </c>
      <c r="H20" s="72">
        <v>13.423999999999999</v>
      </c>
      <c r="I20" s="74" t="s">
        <v>11</v>
      </c>
      <c r="J20" s="72">
        <f>SUM(H20-H$3)</f>
        <v>1.1489999999999991</v>
      </c>
      <c r="K20" s="72">
        <v>0.94699999999999995</v>
      </c>
      <c r="L20" s="72">
        <f>SUM(J20:K20)-M$4</f>
        <v>1.8959999999999992</v>
      </c>
    </row>
    <row r="21" spans="1:15" x14ac:dyDescent="0.3">
      <c r="A21" s="72" t="s">
        <v>531</v>
      </c>
      <c r="B21" s="72" t="s">
        <v>505</v>
      </c>
      <c r="C21" s="72" t="s">
        <v>658</v>
      </c>
      <c r="D21" s="73">
        <v>42767</v>
      </c>
      <c r="F21" s="72">
        <v>5295489.4730000002</v>
      </c>
      <c r="G21" s="72">
        <v>1642981.122</v>
      </c>
      <c r="H21" s="72">
        <v>13.596</v>
      </c>
      <c r="I21" s="74" t="s">
        <v>11</v>
      </c>
      <c r="J21" s="72">
        <f>SUM(H21-H$3)</f>
        <v>1.3209999999999997</v>
      </c>
      <c r="K21" s="72">
        <v>0.94699999999999995</v>
      </c>
      <c r="L21" s="72">
        <f>SUM(J21:K21)-M$4</f>
        <v>2.0679999999999996</v>
      </c>
    </row>
    <row r="22" spans="1:15" x14ac:dyDescent="0.3">
      <c r="A22" s="72" t="s">
        <v>532</v>
      </c>
      <c r="B22" s="72" t="s">
        <v>505</v>
      </c>
      <c r="C22" s="72" t="s">
        <v>658</v>
      </c>
      <c r="D22" s="73">
        <v>42767</v>
      </c>
      <c r="F22" s="72">
        <v>5295471.4519999996</v>
      </c>
      <c r="G22" s="72">
        <v>1643006.0789999999</v>
      </c>
      <c r="H22" s="72">
        <v>13.467000000000001</v>
      </c>
      <c r="I22" s="74" t="s">
        <v>11</v>
      </c>
      <c r="J22" s="72">
        <f>SUM(H22-H$3)</f>
        <v>1.1920000000000002</v>
      </c>
      <c r="K22" s="72">
        <v>0.94699999999999995</v>
      </c>
      <c r="L22" s="72">
        <f>SUM(J22:K22)-M$4</f>
        <v>1.9390000000000003</v>
      </c>
    </row>
    <row r="23" spans="1:15" x14ac:dyDescent="0.3">
      <c r="A23" s="72" t="s">
        <v>533</v>
      </c>
      <c r="B23" s="72" t="s">
        <v>505</v>
      </c>
      <c r="C23" s="72" t="s">
        <v>658</v>
      </c>
      <c r="D23" s="73">
        <v>42767</v>
      </c>
      <c r="F23" s="72">
        <v>5295471.67</v>
      </c>
      <c r="G23" s="72">
        <v>1643006.351</v>
      </c>
      <c r="H23" s="72">
        <v>13.46</v>
      </c>
      <c r="I23" s="74" t="s">
        <v>11</v>
      </c>
      <c r="J23" s="72">
        <f>SUM(H23-H$3)</f>
        <v>1.1850000000000005</v>
      </c>
      <c r="K23" s="72">
        <v>0.94699999999999995</v>
      </c>
      <c r="L23" s="72">
        <f>SUM(J23:K23)-M$4</f>
        <v>1.9320000000000006</v>
      </c>
    </row>
    <row r="24" spans="1:15" x14ac:dyDescent="0.3">
      <c r="A24" s="72" t="s">
        <v>534</v>
      </c>
      <c r="B24" s="72" t="s">
        <v>505</v>
      </c>
      <c r="C24" s="72" t="s">
        <v>658</v>
      </c>
      <c r="D24" s="73">
        <v>42767</v>
      </c>
      <c r="F24" s="72">
        <v>5295473.5219999999</v>
      </c>
      <c r="G24" s="72">
        <v>1643009.575</v>
      </c>
      <c r="H24" s="72">
        <v>13.522</v>
      </c>
      <c r="I24" s="74" t="s">
        <v>11</v>
      </c>
      <c r="J24" s="72">
        <f>SUM(H24-H$3)</f>
        <v>1.2469999999999999</v>
      </c>
      <c r="K24" s="72">
        <v>0.94699999999999995</v>
      </c>
      <c r="L24" s="72">
        <f>SUM(J24:K24)-M$4</f>
        <v>1.994</v>
      </c>
    </row>
    <row r="25" spans="1:15" x14ac:dyDescent="0.3">
      <c r="A25" s="72" t="s">
        <v>535</v>
      </c>
      <c r="B25" s="72" t="s">
        <v>505</v>
      </c>
      <c r="C25" s="72" t="s">
        <v>658</v>
      </c>
      <c r="D25" s="73">
        <v>42767</v>
      </c>
      <c r="F25" s="72">
        <v>5295464.0760000004</v>
      </c>
      <c r="G25" s="72">
        <v>1643007.889</v>
      </c>
      <c r="H25" s="72">
        <v>13.388999999999999</v>
      </c>
      <c r="I25" s="74" t="s">
        <v>11</v>
      </c>
      <c r="J25" s="72">
        <f>SUM(H25-H$3)</f>
        <v>1.113999999999999</v>
      </c>
      <c r="K25" s="72">
        <v>0.94699999999999995</v>
      </c>
      <c r="L25" s="72">
        <f>SUM(J25:K25)-M$4</f>
        <v>1.8609999999999991</v>
      </c>
    </row>
    <row r="26" spans="1:15" x14ac:dyDescent="0.3">
      <c r="A26" s="72" t="s">
        <v>536</v>
      </c>
      <c r="B26" s="72" t="s">
        <v>505</v>
      </c>
      <c r="C26" s="72" t="s">
        <v>658</v>
      </c>
      <c r="D26" s="73">
        <v>42767</v>
      </c>
      <c r="F26" s="72">
        <v>5295464.892</v>
      </c>
      <c r="G26" s="72">
        <v>1643007.8470000001</v>
      </c>
      <c r="H26" s="72">
        <v>13.484999999999999</v>
      </c>
      <c r="I26" s="74" t="s">
        <v>11</v>
      </c>
      <c r="J26" s="72">
        <f>SUM(H26-H$3)</f>
        <v>1.2099999999999991</v>
      </c>
      <c r="K26" s="72">
        <v>0.94699999999999995</v>
      </c>
      <c r="L26" s="72">
        <f>SUM(J26:K26)-M$4</f>
        <v>1.9569999999999992</v>
      </c>
    </row>
    <row r="27" spans="1:15" x14ac:dyDescent="0.3">
      <c r="J27" s="71"/>
      <c r="K27" s="71"/>
      <c r="L27" s="71"/>
      <c r="M27" s="71"/>
      <c r="N27" s="71"/>
      <c r="O27" s="71"/>
    </row>
    <row r="29" spans="1:15" x14ac:dyDescent="0.3">
      <c r="A29" s="72" t="s">
        <v>440</v>
      </c>
      <c r="B29" s="72" t="s">
        <v>439</v>
      </c>
      <c r="C29" s="72" t="s">
        <v>658</v>
      </c>
      <c r="D29" s="73">
        <v>42768</v>
      </c>
      <c r="E29" s="72">
        <v>1751</v>
      </c>
      <c r="F29" s="72">
        <v>5297642.8859999999</v>
      </c>
      <c r="G29" s="72">
        <v>1644126.6229999999</v>
      </c>
      <c r="H29" s="72">
        <v>12.179</v>
      </c>
      <c r="I29" s="72" t="s">
        <v>427</v>
      </c>
    </row>
    <row r="30" spans="1:15" x14ac:dyDescent="0.3">
      <c r="A30" s="72" t="s">
        <v>18</v>
      </c>
      <c r="B30" s="72" t="s">
        <v>439</v>
      </c>
      <c r="C30" s="72" t="s">
        <v>658</v>
      </c>
      <c r="D30" s="73">
        <v>42768</v>
      </c>
      <c r="F30" s="72">
        <v>5297640.449</v>
      </c>
      <c r="G30" s="72">
        <v>1644124.8160000001</v>
      </c>
      <c r="H30" s="72">
        <v>12.95</v>
      </c>
      <c r="I30" s="74" t="s">
        <v>11</v>
      </c>
      <c r="J30" s="72">
        <f>SUM(H30-H$29)</f>
        <v>0.77099999999999902</v>
      </c>
      <c r="K30" s="75">
        <v>0.67230000000000001</v>
      </c>
      <c r="L30" s="75">
        <f>SUM(J30:K30)-0.2</f>
        <v>1.243299999999999</v>
      </c>
      <c r="M30" s="72">
        <v>0.2</v>
      </c>
      <c r="N30" s="75">
        <f>AVERAGE(L30:L48)</f>
        <v>1.3634052631578948</v>
      </c>
      <c r="O30" s="75">
        <f>STDEVA(L30:L48)</f>
        <v>0.10775532713660076</v>
      </c>
    </row>
    <row r="31" spans="1:15" x14ac:dyDescent="0.3">
      <c r="A31" s="72" t="s">
        <v>21</v>
      </c>
      <c r="B31" s="72" t="s">
        <v>439</v>
      </c>
      <c r="C31" s="72" t="s">
        <v>658</v>
      </c>
      <c r="D31" s="73">
        <v>42768</v>
      </c>
      <c r="F31" s="72">
        <v>5297640.2240000004</v>
      </c>
      <c r="G31" s="72">
        <v>1644125.8259999999</v>
      </c>
      <c r="H31" s="72">
        <v>12.968</v>
      </c>
      <c r="I31" s="74" t="s">
        <v>11</v>
      </c>
      <c r="J31" s="72">
        <f>SUM(H31-H$29)</f>
        <v>0.7889999999999997</v>
      </c>
      <c r="K31" s="75">
        <v>0.67230000000000001</v>
      </c>
      <c r="L31" s="75">
        <f>SUM(J31:K31)-0.2</f>
        <v>1.2612999999999996</v>
      </c>
    </row>
    <row r="32" spans="1:15" x14ac:dyDescent="0.3">
      <c r="A32" s="72" t="s">
        <v>24</v>
      </c>
      <c r="B32" s="72" t="s">
        <v>439</v>
      </c>
      <c r="C32" s="72" t="s">
        <v>658</v>
      </c>
      <c r="D32" s="73">
        <v>42768</v>
      </c>
      <c r="F32" s="72">
        <v>5297639.784</v>
      </c>
      <c r="G32" s="72">
        <v>1644127.328</v>
      </c>
      <c r="H32" s="72">
        <v>13.045999999999999</v>
      </c>
      <c r="I32" s="74" t="s">
        <v>11</v>
      </c>
      <c r="J32" s="72">
        <f>SUM(H32-H$29)</f>
        <v>0.8669999999999991</v>
      </c>
      <c r="K32" s="75">
        <v>0.67230000000000001</v>
      </c>
      <c r="L32" s="75">
        <f>SUM(J32:K32)-0.2</f>
        <v>1.339299999999999</v>
      </c>
    </row>
    <row r="33" spans="1:21" x14ac:dyDescent="0.3">
      <c r="A33" s="72" t="s">
        <v>27</v>
      </c>
      <c r="B33" s="72" t="s">
        <v>439</v>
      </c>
      <c r="C33" s="72" t="s">
        <v>658</v>
      </c>
      <c r="D33" s="73">
        <v>42768</v>
      </c>
      <c r="F33" s="72">
        <v>5297639.7790000001</v>
      </c>
      <c r="G33" s="72">
        <v>1644128.89</v>
      </c>
      <c r="H33" s="72">
        <v>13.076000000000001</v>
      </c>
      <c r="I33" s="74" t="s">
        <v>11</v>
      </c>
      <c r="J33" s="72">
        <f>SUM(H33-H$29)</f>
        <v>0.89700000000000024</v>
      </c>
      <c r="K33" s="75">
        <v>0.67230000000000001</v>
      </c>
      <c r="L33" s="75">
        <f>SUM(J33:K33)-0.2</f>
        <v>1.3693000000000002</v>
      </c>
    </row>
    <row r="34" spans="1:21" x14ac:dyDescent="0.3">
      <c r="A34" s="72" t="s">
        <v>30</v>
      </c>
      <c r="B34" s="72" t="s">
        <v>439</v>
      </c>
      <c r="C34" s="72" t="s">
        <v>658</v>
      </c>
      <c r="D34" s="73">
        <v>42768</v>
      </c>
      <c r="F34" s="72">
        <v>5297639.9139999999</v>
      </c>
      <c r="G34" s="72">
        <v>1644129.8810000001</v>
      </c>
      <c r="H34" s="72">
        <v>13.069000000000001</v>
      </c>
      <c r="I34" s="74" t="s">
        <v>11</v>
      </c>
      <c r="J34" s="72">
        <f>SUM(H34-H$29)</f>
        <v>0.89000000000000057</v>
      </c>
      <c r="K34" s="75">
        <v>0.67230000000000001</v>
      </c>
      <c r="L34" s="75">
        <f>SUM(J34:K34)-0.2</f>
        <v>1.3623000000000005</v>
      </c>
      <c r="O34" s="72" t="s">
        <v>428</v>
      </c>
      <c r="P34" s="72" t="s">
        <v>429</v>
      </c>
      <c r="Q34" s="72" t="s">
        <v>430</v>
      </c>
      <c r="S34" s="72" t="s">
        <v>431</v>
      </c>
      <c r="T34" s="72">
        <v>1</v>
      </c>
      <c r="U34" s="72" t="s">
        <v>432</v>
      </c>
    </row>
    <row r="35" spans="1:21" x14ac:dyDescent="0.3">
      <c r="A35" s="72" t="s">
        <v>33</v>
      </c>
      <c r="B35" s="72" t="s">
        <v>439</v>
      </c>
      <c r="C35" s="72" t="s">
        <v>658</v>
      </c>
      <c r="D35" s="73">
        <v>42768</v>
      </c>
      <c r="F35" s="72">
        <v>5297637.8030000003</v>
      </c>
      <c r="G35" s="72">
        <v>1644129.8319999999</v>
      </c>
      <c r="H35" s="72">
        <v>13.162000000000001</v>
      </c>
      <c r="I35" s="74" t="s">
        <v>11</v>
      </c>
      <c r="J35" s="72">
        <f>SUM(H35-H$29)</f>
        <v>0.98300000000000054</v>
      </c>
      <c r="K35" s="75">
        <v>0.67230000000000001</v>
      </c>
      <c r="L35" s="75">
        <f>SUM(J35:K35)-0.2</f>
        <v>1.4553000000000005</v>
      </c>
      <c r="O35" s="72">
        <v>16</v>
      </c>
      <c r="P35" s="72">
        <v>4</v>
      </c>
      <c r="Q35" s="72">
        <f>SUM(P35/60)+O35</f>
        <v>16.066666666666666</v>
      </c>
      <c r="R35" s="72" t="s">
        <v>433</v>
      </c>
      <c r="S35" s="72">
        <f>SUM(Q37-Q35)/(Q36-Q35)</f>
        <v>0.29076086956521768</v>
      </c>
      <c r="T35" s="72">
        <f>SUM(S35+1)</f>
        <v>1.2907608695652177</v>
      </c>
      <c r="U35" s="72">
        <f>SUM(T35*PI())</f>
        <v>4.0550448653672611</v>
      </c>
    </row>
    <row r="36" spans="1:21" x14ac:dyDescent="0.3">
      <c r="A36" s="72" t="s">
        <v>36</v>
      </c>
      <c r="B36" s="72" t="s">
        <v>439</v>
      </c>
      <c r="C36" s="72" t="s">
        <v>658</v>
      </c>
      <c r="D36" s="73">
        <v>42768</v>
      </c>
      <c r="F36" s="72">
        <v>5297637.4890000001</v>
      </c>
      <c r="G36" s="72">
        <v>1644128.469</v>
      </c>
      <c r="H36" s="72">
        <v>13.313000000000001</v>
      </c>
      <c r="I36" s="74" t="s">
        <v>11</v>
      </c>
      <c r="J36" s="72">
        <f>SUM(H36-H$29)</f>
        <v>1.1340000000000003</v>
      </c>
      <c r="K36" s="75">
        <v>0.67230000000000001</v>
      </c>
      <c r="L36" s="75">
        <f>SUM(J36:K36)-0.2</f>
        <v>1.6063000000000003</v>
      </c>
      <c r="O36" s="72">
        <v>22</v>
      </c>
      <c r="P36" s="72">
        <v>12</v>
      </c>
      <c r="Q36" s="72">
        <f>SUM(P36/60)+O36</f>
        <v>22.2</v>
      </c>
      <c r="R36" s="72" t="s">
        <v>434</v>
      </c>
    </row>
    <row r="37" spans="1:21" x14ac:dyDescent="0.3">
      <c r="A37" s="72" t="s">
        <v>39</v>
      </c>
      <c r="B37" s="72" t="s">
        <v>439</v>
      </c>
      <c r="C37" s="72" t="s">
        <v>658</v>
      </c>
      <c r="D37" s="73">
        <v>42768</v>
      </c>
      <c r="F37" s="72">
        <v>5297636.1069999998</v>
      </c>
      <c r="G37" s="72">
        <v>1644123.645</v>
      </c>
      <c r="H37" s="72">
        <v>12.949</v>
      </c>
      <c r="I37" s="74" t="s">
        <v>11</v>
      </c>
      <c r="J37" s="72">
        <f>SUM(H37-H$29)</f>
        <v>0.76999999999999957</v>
      </c>
      <c r="K37" s="75">
        <v>0.67230000000000001</v>
      </c>
      <c r="L37" s="75">
        <f>SUM(J37:K37)-0.2</f>
        <v>1.2422999999999995</v>
      </c>
      <c r="O37" s="72">
        <v>17</v>
      </c>
      <c r="P37" s="72">
        <v>51</v>
      </c>
      <c r="Q37" s="72">
        <f>SUM(P37/60)+O37</f>
        <v>17.850000000000001</v>
      </c>
      <c r="R37" s="72" t="s">
        <v>435</v>
      </c>
    </row>
    <row r="38" spans="1:21" x14ac:dyDescent="0.3">
      <c r="A38" s="72" t="s">
        <v>42</v>
      </c>
      <c r="B38" s="72" t="s">
        <v>439</v>
      </c>
      <c r="C38" s="72" t="s">
        <v>658</v>
      </c>
      <c r="D38" s="73">
        <v>42768</v>
      </c>
      <c r="F38" s="72">
        <v>5297633.7290000003</v>
      </c>
      <c r="G38" s="72">
        <v>1644125.5360000001</v>
      </c>
      <c r="H38" s="72">
        <v>12.933</v>
      </c>
      <c r="I38" s="74" t="s">
        <v>11</v>
      </c>
      <c r="J38" s="72">
        <f>SUM(H38-H$29)</f>
        <v>0.75399999999999956</v>
      </c>
      <c r="K38" s="75">
        <v>0.67230000000000001</v>
      </c>
      <c r="L38" s="75">
        <f>SUM(J38:K38)-0.2</f>
        <v>1.2262999999999995</v>
      </c>
    </row>
    <row r="39" spans="1:21" x14ac:dyDescent="0.3">
      <c r="A39" s="72" t="s">
        <v>45</v>
      </c>
      <c r="B39" s="72" t="s">
        <v>439</v>
      </c>
      <c r="C39" s="72" t="s">
        <v>658</v>
      </c>
      <c r="D39" s="73">
        <v>42768</v>
      </c>
      <c r="F39" s="72">
        <v>5297633.1610000003</v>
      </c>
      <c r="G39" s="72">
        <v>1644127.2279999999</v>
      </c>
      <c r="H39" s="72">
        <v>13.021000000000001</v>
      </c>
      <c r="I39" s="74" t="s">
        <v>11</v>
      </c>
      <c r="J39" s="72">
        <f>SUM(H39-H$29)</f>
        <v>0.84200000000000053</v>
      </c>
      <c r="K39" s="75">
        <v>0.67230000000000001</v>
      </c>
      <c r="L39" s="75">
        <f>SUM(J39:K39)-0.2</f>
        <v>1.3143000000000005</v>
      </c>
    </row>
    <row r="40" spans="1:21" x14ac:dyDescent="0.3">
      <c r="A40" s="72" t="s">
        <v>48</v>
      </c>
      <c r="B40" s="72" t="s">
        <v>439</v>
      </c>
      <c r="C40" s="72" t="s">
        <v>658</v>
      </c>
      <c r="D40" s="73">
        <v>42768</v>
      </c>
      <c r="F40" s="72">
        <v>5297632.59</v>
      </c>
      <c r="G40" s="72">
        <v>1644129.112</v>
      </c>
      <c r="H40" s="72">
        <v>13.14</v>
      </c>
      <c r="I40" s="74" t="s">
        <v>11</v>
      </c>
      <c r="J40" s="72">
        <f>SUM(H40-H$29)</f>
        <v>0.9610000000000003</v>
      </c>
      <c r="K40" s="75">
        <v>0.67230000000000001</v>
      </c>
      <c r="L40" s="75">
        <f>SUM(J40:K40)-0.2</f>
        <v>1.4333000000000002</v>
      </c>
    </row>
    <row r="41" spans="1:21" x14ac:dyDescent="0.3">
      <c r="A41" s="72" t="s">
        <v>51</v>
      </c>
      <c r="B41" s="72" t="s">
        <v>439</v>
      </c>
      <c r="C41" s="72" t="s">
        <v>658</v>
      </c>
      <c r="D41" s="73">
        <v>42768</v>
      </c>
      <c r="F41" s="72">
        <v>5297633.0609999998</v>
      </c>
      <c r="G41" s="72">
        <v>1644130.1089999999</v>
      </c>
      <c r="H41" s="72">
        <v>13.175000000000001</v>
      </c>
      <c r="I41" s="74" t="s">
        <v>11</v>
      </c>
      <c r="J41" s="72">
        <f>SUM(H41-H$29)</f>
        <v>0.99600000000000044</v>
      </c>
      <c r="K41" s="75">
        <v>0.67230000000000001</v>
      </c>
      <c r="L41" s="75">
        <f>SUM(J41:K41)-0.2</f>
        <v>1.4683000000000004</v>
      </c>
    </row>
    <row r="42" spans="1:21" x14ac:dyDescent="0.3">
      <c r="A42" s="72" t="s">
        <v>54</v>
      </c>
      <c r="B42" s="72" t="s">
        <v>439</v>
      </c>
      <c r="C42" s="72" t="s">
        <v>658</v>
      </c>
      <c r="D42" s="73">
        <v>42768</v>
      </c>
      <c r="F42" s="72">
        <v>5297633.3090000004</v>
      </c>
      <c r="G42" s="72">
        <v>1644131.0379999999</v>
      </c>
      <c r="H42" s="72">
        <v>13.147</v>
      </c>
      <c r="I42" s="74" t="s">
        <v>11</v>
      </c>
      <c r="J42" s="72">
        <f>SUM(H42-H$29)</f>
        <v>0.96799999999999997</v>
      </c>
      <c r="K42" s="75">
        <v>0.67230000000000001</v>
      </c>
      <c r="L42" s="75">
        <f>SUM(J42:K42)-0.2</f>
        <v>1.4402999999999999</v>
      </c>
      <c r="O42" s="72" t="s">
        <v>436</v>
      </c>
      <c r="P42" s="72" t="s">
        <v>437</v>
      </c>
      <c r="Q42" s="71" t="s">
        <v>438</v>
      </c>
      <c r="S42" s="11" t="s">
        <v>680</v>
      </c>
    </row>
    <row r="43" spans="1:21" ht="15.6" x14ac:dyDescent="0.35">
      <c r="A43" s="72" t="s">
        <v>57</v>
      </c>
      <c r="B43" s="72" t="s">
        <v>439</v>
      </c>
      <c r="C43" s="72" t="s">
        <v>658</v>
      </c>
      <c r="D43" s="73">
        <v>42768</v>
      </c>
      <c r="F43" s="72">
        <v>5297629.1279999996</v>
      </c>
      <c r="G43" s="72">
        <v>1644130.66</v>
      </c>
      <c r="H43" s="72">
        <v>13.282</v>
      </c>
      <c r="I43" s="74" t="s">
        <v>11</v>
      </c>
      <c r="J43" s="72">
        <f>SUM(H43-H$29)</f>
        <v>1.1029999999999998</v>
      </c>
      <c r="K43" s="75">
        <v>0.67230000000000001</v>
      </c>
      <c r="L43" s="75">
        <f>SUM(J43:K43)-0.2</f>
        <v>1.5752999999999997</v>
      </c>
      <c r="O43" s="72">
        <v>0.4</v>
      </c>
      <c r="P43" s="72">
        <v>1.8</v>
      </c>
      <c r="Q43" s="76">
        <f>SUM(O43+(P43-O43)*((COS(U35)+1)/2))</f>
        <v>0.67228840550906399</v>
      </c>
      <c r="S43" s="69" t="s">
        <v>683</v>
      </c>
    </row>
    <row r="44" spans="1:21" x14ac:dyDescent="0.3">
      <c r="A44" s="72" t="s">
        <v>60</v>
      </c>
      <c r="B44" s="72" t="s">
        <v>439</v>
      </c>
      <c r="C44" s="72" t="s">
        <v>658</v>
      </c>
      <c r="D44" s="73">
        <v>42768</v>
      </c>
      <c r="F44" s="72">
        <v>5297627.5049999999</v>
      </c>
      <c r="G44" s="72">
        <v>1644127.1140000001</v>
      </c>
      <c r="H44" s="72">
        <v>13.019</v>
      </c>
      <c r="I44" s="74" t="s">
        <v>11</v>
      </c>
      <c r="J44" s="72">
        <f>SUM(H44-H$29)</f>
        <v>0.83999999999999986</v>
      </c>
      <c r="K44" s="75">
        <v>0.67230000000000001</v>
      </c>
      <c r="L44" s="75">
        <f>SUM(J44:K44)-0.2</f>
        <v>1.3122999999999998</v>
      </c>
    </row>
    <row r="45" spans="1:21" x14ac:dyDescent="0.3">
      <c r="A45" s="72" t="s">
        <v>63</v>
      </c>
      <c r="B45" s="72" t="s">
        <v>439</v>
      </c>
      <c r="C45" s="72" t="s">
        <v>658</v>
      </c>
      <c r="D45" s="73">
        <v>42768</v>
      </c>
      <c r="F45" s="72">
        <v>5297627.9759999998</v>
      </c>
      <c r="G45" s="72">
        <v>1644127.0619999999</v>
      </c>
      <c r="H45" s="72">
        <v>13.048</v>
      </c>
      <c r="I45" s="74" t="s">
        <v>11</v>
      </c>
      <c r="J45" s="72">
        <f>SUM(H45-H$29)</f>
        <v>0.86899999999999977</v>
      </c>
      <c r="K45" s="75">
        <v>0.67230000000000001</v>
      </c>
      <c r="L45" s="75">
        <f>SUM(J45:K45)-0.2</f>
        <v>1.3412999999999997</v>
      </c>
    </row>
    <row r="46" spans="1:21" x14ac:dyDescent="0.3">
      <c r="A46" s="72" t="s">
        <v>66</v>
      </c>
      <c r="B46" s="72" t="s">
        <v>439</v>
      </c>
      <c r="C46" s="72" t="s">
        <v>658</v>
      </c>
      <c r="D46" s="73">
        <v>42768</v>
      </c>
      <c r="F46" s="72">
        <v>5297629.6909999996</v>
      </c>
      <c r="G46" s="72">
        <v>1644126.558</v>
      </c>
      <c r="H46" s="72">
        <v>13.016999999999999</v>
      </c>
      <c r="I46" s="74" t="s">
        <v>11</v>
      </c>
      <c r="J46" s="72">
        <f>SUM(H46-H$29)</f>
        <v>0.83799999999999919</v>
      </c>
      <c r="K46" s="75">
        <v>0.67230000000000001</v>
      </c>
      <c r="L46" s="75">
        <f>SUM(J46:K46)-0.2</f>
        <v>1.3102999999999991</v>
      </c>
    </row>
    <row r="47" spans="1:21" x14ac:dyDescent="0.3">
      <c r="A47" s="72" t="s">
        <v>69</v>
      </c>
      <c r="B47" s="72" t="s">
        <v>439</v>
      </c>
      <c r="C47" s="72" t="s">
        <v>658</v>
      </c>
      <c r="D47" s="73">
        <v>42768</v>
      </c>
      <c r="F47" s="72">
        <v>5297630.3789999997</v>
      </c>
      <c r="G47" s="72">
        <v>1644126.4169999999</v>
      </c>
      <c r="H47" s="72">
        <v>13.007</v>
      </c>
      <c r="I47" s="74" t="s">
        <v>11</v>
      </c>
      <c r="J47" s="72">
        <f>SUM(H47-H$29)</f>
        <v>0.8279999999999994</v>
      </c>
      <c r="K47" s="75">
        <v>0.67230000000000001</v>
      </c>
      <c r="L47" s="75">
        <f>SUM(J47:K47)-0.2</f>
        <v>1.3002999999999993</v>
      </c>
    </row>
    <row r="48" spans="1:21" x14ac:dyDescent="0.3">
      <c r="A48" s="72" t="s">
        <v>72</v>
      </c>
      <c r="B48" s="72" t="s">
        <v>439</v>
      </c>
      <c r="C48" s="72" t="s">
        <v>658</v>
      </c>
      <c r="D48" s="73">
        <v>42768</v>
      </c>
      <c r="F48" s="72">
        <v>5297631.5810000002</v>
      </c>
      <c r="G48" s="72">
        <v>1644128.22</v>
      </c>
      <c r="H48" s="72">
        <v>13.01</v>
      </c>
      <c r="I48" s="74" t="s">
        <v>11</v>
      </c>
      <c r="J48" s="72">
        <f>SUM(H48-H$29)</f>
        <v>0.83099999999999952</v>
      </c>
      <c r="K48" s="75">
        <v>0.67230000000000001</v>
      </c>
      <c r="L48" s="75">
        <f>SUM(J48:K48)-0.2</f>
        <v>1.3032999999999995</v>
      </c>
    </row>
    <row r="50" spans="1:21" x14ac:dyDescent="0.3">
      <c r="A50" s="72" t="s">
        <v>441</v>
      </c>
      <c r="B50" s="72" t="s">
        <v>439</v>
      </c>
      <c r="C50" s="72" t="s">
        <v>658</v>
      </c>
      <c r="D50" s="73">
        <v>42768</v>
      </c>
      <c r="E50" s="72">
        <v>1758</v>
      </c>
      <c r="F50" s="72">
        <v>5297633.1140000001</v>
      </c>
      <c r="G50" s="72">
        <v>1644129.875</v>
      </c>
      <c r="H50" s="72">
        <v>12.198</v>
      </c>
      <c r="I50" s="72" t="s">
        <v>427</v>
      </c>
    </row>
    <row r="51" spans="1:21" x14ac:dyDescent="0.3">
      <c r="A51" s="72" t="s">
        <v>78</v>
      </c>
      <c r="B51" s="72" t="s">
        <v>439</v>
      </c>
      <c r="C51" s="72" t="s">
        <v>658</v>
      </c>
      <c r="D51" s="73">
        <v>42768</v>
      </c>
      <c r="F51" s="72">
        <v>5297632.1210000003</v>
      </c>
      <c r="G51" s="72">
        <v>1644128.2620000001</v>
      </c>
      <c r="H51" s="72">
        <v>13.15</v>
      </c>
      <c r="I51" s="74" t="s">
        <v>13</v>
      </c>
      <c r="J51" s="72">
        <f>SUM(H51-H$50)</f>
        <v>0.95199999999999996</v>
      </c>
      <c r="K51" s="75">
        <v>0.70609999999999995</v>
      </c>
      <c r="L51" s="75">
        <f>SUM(J51:K51)-0.4</f>
        <v>1.2580999999999998</v>
      </c>
      <c r="M51" s="72">
        <v>0.4</v>
      </c>
      <c r="N51" s="75">
        <f>AVERAGE(L51:L69)</f>
        <v>1.2362578947368414</v>
      </c>
      <c r="O51" s="75">
        <f>STDEVA(L51:L70)</f>
        <v>0.18361002724596476</v>
      </c>
    </row>
    <row r="52" spans="1:21" x14ac:dyDescent="0.3">
      <c r="A52" s="72" t="s">
        <v>81</v>
      </c>
      <c r="B52" s="72" t="s">
        <v>439</v>
      </c>
      <c r="C52" s="72" t="s">
        <v>658</v>
      </c>
      <c r="D52" s="73">
        <v>42768</v>
      </c>
      <c r="F52" s="72">
        <v>5297632.2529999996</v>
      </c>
      <c r="G52" s="72">
        <v>1644128.547</v>
      </c>
      <c r="H52" s="72">
        <v>13.135999999999999</v>
      </c>
      <c r="I52" s="74" t="s">
        <v>13</v>
      </c>
      <c r="J52" s="72">
        <f>SUM(H52-H$50)</f>
        <v>0.93799999999999883</v>
      </c>
      <c r="K52" s="75">
        <v>0.70609999999999995</v>
      </c>
      <c r="L52" s="75">
        <f>SUM(J52:K52)-0.4</f>
        <v>1.2440999999999987</v>
      </c>
    </row>
    <row r="53" spans="1:21" x14ac:dyDescent="0.3">
      <c r="A53" s="72" t="s">
        <v>84</v>
      </c>
      <c r="B53" s="72" t="s">
        <v>439</v>
      </c>
      <c r="C53" s="72" t="s">
        <v>658</v>
      </c>
      <c r="D53" s="73">
        <v>42768</v>
      </c>
      <c r="F53" s="72">
        <v>5297632.59</v>
      </c>
      <c r="G53" s="72">
        <v>1644133.753</v>
      </c>
      <c r="H53" s="72">
        <v>13.021000000000001</v>
      </c>
      <c r="I53" s="74" t="s">
        <v>13</v>
      </c>
      <c r="J53" s="72">
        <f>SUM(H53-H$50)</f>
        <v>0.8230000000000004</v>
      </c>
      <c r="K53" s="75">
        <v>0.70609999999999995</v>
      </c>
      <c r="L53" s="75">
        <f>SUM(J53:K53)-0.4</f>
        <v>1.1291000000000002</v>
      </c>
    </row>
    <row r="54" spans="1:21" x14ac:dyDescent="0.3">
      <c r="A54" s="72" t="s">
        <v>87</v>
      </c>
      <c r="B54" s="72" t="s">
        <v>439</v>
      </c>
      <c r="C54" s="72" t="s">
        <v>658</v>
      </c>
      <c r="D54" s="73">
        <v>42768</v>
      </c>
      <c r="F54" s="72">
        <v>5297629.1109999996</v>
      </c>
      <c r="G54" s="72">
        <v>1644131.4939999999</v>
      </c>
      <c r="H54" s="72">
        <v>13.391</v>
      </c>
      <c r="I54" s="74" t="s">
        <v>13</v>
      </c>
      <c r="J54" s="72">
        <f>SUM(H54-H$50)</f>
        <v>1.1929999999999996</v>
      </c>
      <c r="K54" s="75">
        <v>0.70609999999999995</v>
      </c>
      <c r="L54" s="75">
        <f>SUM(J54:K54)-0.4</f>
        <v>1.4990999999999994</v>
      </c>
      <c r="O54" s="72" t="s">
        <v>428</v>
      </c>
      <c r="P54" s="72" t="s">
        <v>429</v>
      </c>
      <c r="Q54" s="72" t="s">
        <v>430</v>
      </c>
      <c r="S54" s="72" t="s">
        <v>431</v>
      </c>
      <c r="T54" s="72">
        <v>1</v>
      </c>
      <c r="U54" s="72" t="s">
        <v>432</v>
      </c>
    </row>
    <row r="55" spans="1:21" x14ac:dyDescent="0.3">
      <c r="A55" s="72" t="s">
        <v>90</v>
      </c>
      <c r="B55" s="72" t="s">
        <v>439</v>
      </c>
      <c r="C55" s="72" t="s">
        <v>658</v>
      </c>
      <c r="D55" s="73">
        <v>42768</v>
      </c>
      <c r="F55" s="72">
        <v>5297629.3370000003</v>
      </c>
      <c r="G55" s="72">
        <v>1644131.649</v>
      </c>
      <c r="H55" s="72">
        <v>13.361000000000001</v>
      </c>
      <c r="I55" s="74" t="s">
        <v>13</v>
      </c>
      <c r="J55" s="72">
        <f>SUM(H55-H$50)</f>
        <v>1.1630000000000003</v>
      </c>
      <c r="K55" s="75">
        <v>0.70609999999999995</v>
      </c>
      <c r="L55" s="75">
        <f>SUM(J55:K55)-0.4</f>
        <v>1.4691000000000001</v>
      </c>
      <c r="O55" s="72">
        <v>16</v>
      </c>
      <c r="P55" s="72">
        <v>4</v>
      </c>
      <c r="Q55" s="72">
        <f>SUM(P55/60)+O55</f>
        <v>16.066666666666666</v>
      </c>
      <c r="R55" s="72" t="s">
        <v>433</v>
      </c>
      <c r="S55" s="72">
        <f>SUM(Q57-Q55)/(Q56-Q55)</f>
        <v>0.30978260869565194</v>
      </c>
      <c r="T55" s="72">
        <f>SUM(S55+1)</f>
        <v>1.3097826086956519</v>
      </c>
      <c r="U55" s="72">
        <f>SUM(T55*PI())</f>
        <v>4.1148034212779345</v>
      </c>
    </row>
    <row r="56" spans="1:21" x14ac:dyDescent="0.3">
      <c r="A56" s="72" t="s">
        <v>93</v>
      </c>
      <c r="B56" s="72" t="s">
        <v>439</v>
      </c>
      <c r="C56" s="72" t="s">
        <v>658</v>
      </c>
      <c r="D56" s="73">
        <v>42768</v>
      </c>
      <c r="F56" s="72">
        <v>5297628.6960000005</v>
      </c>
      <c r="G56" s="72">
        <v>1644129.223</v>
      </c>
      <c r="H56" s="72">
        <v>13.164999999999999</v>
      </c>
      <c r="I56" s="74" t="s">
        <v>13</v>
      </c>
      <c r="J56" s="72">
        <f>SUM(H56-H$50)</f>
        <v>0.96699999999999875</v>
      </c>
      <c r="K56" s="75">
        <v>0.70609999999999995</v>
      </c>
      <c r="L56" s="75">
        <f>SUM(J56:K56)-0.4</f>
        <v>1.2730999999999986</v>
      </c>
      <c r="O56" s="72">
        <v>22</v>
      </c>
      <c r="P56" s="72">
        <v>12</v>
      </c>
      <c r="Q56" s="72">
        <f>SUM(P56/60)+O56</f>
        <v>22.2</v>
      </c>
      <c r="R56" s="72" t="s">
        <v>434</v>
      </c>
    </row>
    <row r="57" spans="1:21" x14ac:dyDescent="0.3">
      <c r="A57" s="72" t="s">
        <v>96</v>
      </c>
      <c r="B57" s="72" t="s">
        <v>439</v>
      </c>
      <c r="C57" s="72" t="s">
        <v>658</v>
      </c>
      <c r="D57" s="73">
        <v>42768</v>
      </c>
      <c r="F57" s="72">
        <v>5297627.8760000002</v>
      </c>
      <c r="G57" s="72">
        <v>1644128.9809999999</v>
      </c>
      <c r="H57" s="72">
        <v>13.361000000000001</v>
      </c>
      <c r="I57" s="74" t="s">
        <v>13</v>
      </c>
      <c r="J57" s="72">
        <f>SUM(H57-H$50)</f>
        <v>1.1630000000000003</v>
      </c>
      <c r="K57" s="75">
        <v>0.70609999999999995</v>
      </c>
      <c r="L57" s="75">
        <f>SUM(J57:K57)-0.4</f>
        <v>1.4691000000000001</v>
      </c>
      <c r="O57" s="72">
        <v>17</v>
      </c>
      <c r="P57" s="72">
        <v>58</v>
      </c>
      <c r="Q57" s="72">
        <f>SUM(P57/60)+O57</f>
        <v>17.966666666666665</v>
      </c>
      <c r="R57" s="72" t="s">
        <v>435</v>
      </c>
    </row>
    <row r="58" spans="1:21" x14ac:dyDescent="0.3">
      <c r="A58" s="72" t="s">
        <v>99</v>
      </c>
      <c r="B58" s="72" t="s">
        <v>439</v>
      </c>
      <c r="C58" s="72" t="s">
        <v>658</v>
      </c>
      <c r="D58" s="73">
        <v>42768</v>
      </c>
      <c r="F58" s="72">
        <v>5297633.2280000001</v>
      </c>
      <c r="G58" s="72">
        <v>1644127.91</v>
      </c>
      <c r="H58" s="72">
        <v>13.183999999999999</v>
      </c>
      <c r="I58" s="74" t="s">
        <v>13</v>
      </c>
      <c r="J58" s="72">
        <f>SUM(H58-H$50)</f>
        <v>0.98599999999999888</v>
      </c>
      <c r="K58" s="75">
        <v>0.70609999999999995</v>
      </c>
      <c r="L58" s="75">
        <f>SUM(J58:K58)-0.4</f>
        <v>1.2920999999999987</v>
      </c>
    </row>
    <row r="59" spans="1:21" x14ac:dyDescent="0.3">
      <c r="A59" s="72" t="s">
        <v>102</v>
      </c>
      <c r="B59" s="72" t="s">
        <v>439</v>
      </c>
      <c r="C59" s="72" t="s">
        <v>658</v>
      </c>
      <c r="D59" s="73">
        <v>42768</v>
      </c>
      <c r="F59" s="72">
        <v>5297634.2929999996</v>
      </c>
      <c r="G59" s="72">
        <v>1644128.588</v>
      </c>
      <c r="H59" s="72">
        <v>13.291</v>
      </c>
      <c r="I59" s="74" t="s">
        <v>13</v>
      </c>
      <c r="J59" s="72">
        <f>SUM(H59-H$50)</f>
        <v>1.093</v>
      </c>
      <c r="K59" s="75">
        <v>0.70609999999999995</v>
      </c>
      <c r="L59" s="75">
        <f>SUM(J59:K59)-0.4</f>
        <v>1.3990999999999998</v>
      </c>
    </row>
    <row r="60" spans="1:21" x14ac:dyDescent="0.3">
      <c r="A60" s="72" t="s">
        <v>105</v>
      </c>
      <c r="B60" s="72" t="s">
        <v>439</v>
      </c>
      <c r="C60" s="72" t="s">
        <v>658</v>
      </c>
      <c r="D60" s="73">
        <v>42768</v>
      </c>
      <c r="F60" s="72">
        <v>5297635.3499999996</v>
      </c>
      <c r="G60" s="72">
        <v>1644129.5560000001</v>
      </c>
      <c r="H60" s="72">
        <v>13.247</v>
      </c>
      <c r="I60" s="74" t="s">
        <v>13</v>
      </c>
      <c r="J60" s="72">
        <f>SUM(H60-H$50)</f>
        <v>1.0489999999999995</v>
      </c>
      <c r="K60" s="75">
        <v>0.70609999999999995</v>
      </c>
      <c r="L60" s="75">
        <f>SUM(J60:K60)-0.4</f>
        <v>1.3550999999999993</v>
      </c>
    </row>
    <row r="61" spans="1:21" x14ac:dyDescent="0.3">
      <c r="A61" s="72" t="s">
        <v>108</v>
      </c>
      <c r="B61" s="72" t="s">
        <v>439</v>
      </c>
      <c r="C61" s="72" t="s">
        <v>658</v>
      </c>
      <c r="D61" s="73">
        <v>42768</v>
      </c>
      <c r="F61" s="72">
        <v>5297637.1310000001</v>
      </c>
      <c r="G61" s="72">
        <v>1644127.578</v>
      </c>
      <c r="H61" s="72">
        <v>13.250999999999999</v>
      </c>
      <c r="I61" s="74" t="s">
        <v>13</v>
      </c>
      <c r="J61" s="72">
        <f>SUM(H61-H$50)</f>
        <v>1.052999999999999</v>
      </c>
      <c r="K61" s="75">
        <v>0.70609999999999995</v>
      </c>
      <c r="L61" s="75">
        <f>SUM(J61:K61)-0.4</f>
        <v>1.3590999999999989</v>
      </c>
    </row>
    <row r="62" spans="1:21" x14ac:dyDescent="0.3">
      <c r="A62" s="72" t="s">
        <v>111</v>
      </c>
      <c r="B62" s="72" t="s">
        <v>439</v>
      </c>
      <c r="C62" s="72" t="s">
        <v>658</v>
      </c>
      <c r="D62" s="73">
        <v>42768</v>
      </c>
      <c r="F62" s="72">
        <v>5297637.5420000004</v>
      </c>
      <c r="G62" s="72">
        <v>1644128.6629999999</v>
      </c>
      <c r="H62" s="72">
        <v>13.304</v>
      </c>
      <c r="I62" s="74" t="s">
        <v>13</v>
      </c>
      <c r="J62" s="72">
        <f>SUM(H62-H$50)</f>
        <v>1.1059999999999999</v>
      </c>
      <c r="K62" s="75">
        <v>0.70609999999999995</v>
      </c>
      <c r="L62" s="75">
        <f>SUM(J62:K62)-0.4</f>
        <v>1.4120999999999997</v>
      </c>
      <c r="O62" s="72" t="s">
        <v>436</v>
      </c>
      <c r="P62" s="72" t="s">
        <v>437</v>
      </c>
      <c r="Q62" s="71" t="s">
        <v>438</v>
      </c>
      <c r="S62" s="11" t="s">
        <v>680</v>
      </c>
    </row>
    <row r="63" spans="1:21" ht="15.6" x14ac:dyDescent="0.35">
      <c r="A63" s="72" t="s">
        <v>114</v>
      </c>
      <c r="B63" s="72" t="s">
        <v>439</v>
      </c>
      <c r="C63" s="72" t="s">
        <v>658</v>
      </c>
      <c r="D63" s="73">
        <v>42768</v>
      </c>
      <c r="F63" s="72">
        <v>5297637.5939999996</v>
      </c>
      <c r="G63" s="72">
        <v>1644129.453</v>
      </c>
      <c r="H63" s="72">
        <v>13.098000000000001</v>
      </c>
      <c r="I63" s="74" t="s">
        <v>13</v>
      </c>
      <c r="J63" s="72">
        <f>SUM(H63-H$50)</f>
        <v>0.90000000000000036</v>
      </c>
      <c r="K63" s="75">
        <v>0.70609999999999995</v>
      </c>
      <c r="L63" s="75">
        <f>SUM(J63:K63)-0.4</f>
        <v>1.2061000000000002</v>
      </c>
      <c r="O63" s="72">
        <v>0.4</v>
      </c>
      <c r="P63" s="72">
        <v>1.8</v>
      </c>
      <c r="Q63" s="76">
        <f>SUM(O63+(P63-O63)*((COS(U55)+1)/2))</f>
        <v>0.70614632616820527</v>
      </c>
      <c r="S63" s="69" t="s">
        <v>683</v>
      </c>
    </row>
    <row r="64" spans="1:21" x14ac:dyDescent="0.3">
      <c r="A64" s="72" t="s">
        <v>117</v>
      </c>
      <c r="B64" s="72" t="s">
        <v>439</v>
      </c>
      <c r="C64" s="72" t="s">
        <v>658</v>
      </c>
      <c r="D64" s="73">
        <v>42768</v>
      </c>
      <c r="F64" s="72">
        <v>5297640.4970000004</v>
      </c>
      <c r="G64" s="72">
        <v>1644124.77</v>
      </c>
      <c r="H64" s="72">
        <v>12.89</v>
      </c>
      <c r="I64" s="74" t="s">
        <v>13</v>
      </c>
      <c r="J64" s="72">
        <f>SUM(H64-H$50)</f>
        <v>0.69200000000000017</v>
      </c>
      <c r="K64" s="75">
        <v>0.70609999999999995</v>
      </c>
      <c r="L64" s="75">
        <f>SUM(J64:K64)-0.4</f>
        <v>0.9981000000000001</v>
      </c>
    </row>
    <row r="65" spans="1:21" x14ac:dyDescent="0.3">
      <c r="A65" s="72" t="s">
        <v>120</v>
      </c>
      <c r="B65" s="72" t="s">
        <v>439</v>
      </c>
      <c r="C65" s="72" t="s">
        <v>658</v>
      </c>
      <c r="D65" s="73">
        <v>42768</v>
      </c>
      <c r="F65" s="72">
        <v>5297640.4409999996</v>
      </c>
      <c r="G65" s="72">
        <v>1644122.7409999999</v>
      </c>
      <c r="H65" s="72">
        <v>12.897</v>
      </c>
      <c r="I65" s="74" t="s">
        <v>13</v>
      </c>
      <c r="J65" s="72">
        <f>SUM(H65-H$50)</f>
        <v>0.69899999999999984</v>
      </c>
      <c r="K65" s="75">
        <v>0.70609999999999995</v>
      </c>
      <c r="L65" s="75">
        <f>SUM(J65:K65)-0.4</f>
        <v>1.0050999999999997</v>
      </c>
    </row>
    <row r="66" spans="1:21" x14ac:dyDescent="0.3">
      <c r="A66" s="72" t="s">
        <v>123</v>
      </c>
      <c r="B66" s="72" t="s">
        <v>439</v>
      </c>
      <c r="C66" s="72" t="s">
        <v>658</v>
      </c>
      <c r="D66" s="73">
        <v>42768</v>
      </c>
      <c r="F66" s="72">
        <v>5297644.3830000004</v>
      </c>
      <c r="G66" s="72">
        <v>1644119.868</v>
      </c>
      <c r="H66" s="72">
        <v>12.952</v>
      </c>
      <c r="I66" s="74" t="s">
        <v>13</v>
      </c>
      <c r="J66" s="72">
        <f>SUM(H66-H$50)</f>
        <v>0.75399999999999956</v>
      </c>
      <c r="K66" s="75">
        <v>0.70609999999999995</v>
      </c>
      <c r="L66" s="75">
        <f>SUM(J66:K66)-0.4</f>
        <v>1.0600999999999994</v>
      </c>
    </row>
    <row r="67" spans="1:21" x14ac:dyDescent="0.3">
      <c r="A67" s="72" t="s">
        <v>126</v>
      </c>
      <c r="B67" s="72" t="s">
        <v>439</v>
      </c>
      <c r="C67" s="72" t="s">
        <v>658</v>
      </c>
      <c r="D67" s="73">
        <v>42768</v>
      </c>
      <c r="F67" s="72">
        <v>5297644.2290000003</v>
      </c>
      <c r="G67" s="72">
        <v>1644119.71</v>
      </c>
      <c r="H67" s="72">
        <v>12.907999999999999</v>
      </c>
      <c r="I67" s="74" t="s">
        <v>13</v>
      </c>
      <c r="J67" s="72">
        <f>SUM(H67-H$50)</f>
        <v>0.70999999999999908</v>
      </c>
      <c r="K67" s="75">
        <v>0.70609999999999995</v>
      </c>
      <c r="L67" s="75">
        <f>SUM(J67:K67)-0.4</f>
        <v>1.0160999999999989</v>
      </c>
    </row>
    <row r="68" spans="1:21" x14ac:dyDescent="0.3">
      <c r="A68" s="72" t="s">
        <v>129</v>
      </c>
      <c r="B68" s="72" t="s">
        <v>439</v>
      </c>
      <c r="C68" s="72" t="s">
        <v>658</v>
      </c>
      <c r="D68" s="73">
        <v>42768</v>
      </c>
      <c r="F68" s="72">
        <v>5297644.8250000002</v>
      </c>
      <c r="G68" s="72">
        <v>1644120.1850000001</v>
      </c>
      <c r="H68" s="72">
        <v>12.962</v>
      </c>
      <c r="I68" s="74" t="s">
        <v>13</v>
      </c>
      <c r="J68" s="72">
        <f>SUM(H68-H$50)</f>
        <v>0.76399999999999935</v>
      </c>
      <c r="K68" s="75">
        <v>0.70609999999999995</v>
      </c>
      <c r="L68" s="75">
        <f>SUM(J68:K68)-0.4</f>
        <v>1.0700999999999992</v>
      </c>
    </row>
    <row r="69" spans="1:21" x14ac:dyDescent="0.3">
      <c r="A69" s="72" t="s">
        <v>132</v>
      </c>
      <c r="B69" s="72" t="s">
        <v>439</v>
      </c>
      <c r="C69" s="72" t="s">
        <v>658</v>
      </c>
      <c r="D69" s="73">
        <v>42768</v>
      </c>
      <c r="F69" s="72">
        <v>5297647.0530000003</v>
      </c>
      <c r="G69" s="72">
        <v>1644120.341</v>
      </c>
      <c r="H69" s="72">
        <v>12.866</v>
      </c>
      <c r="I69" s="74" t="s">
        <v>13</v>
      </c>
      <c r="J69" s="72">
        <f>SUM(H69-H$50)</f>
        <v>0.66799999999999926</v>
      </c>
      <c r="K69" s="75">
        <v>0.70609999999999995</v>
      </c>
      <c r="L69" s="75">
        <f>SUM(J69:K69)-0.4</f>
        <v>0.97409999999999919</v>
      </c>
    </row>
    <row r="70" spans="1:21" x14ac:dyDescent="0.3">
      <c r="A70" s="72" t="s">
        <v>135</v>
      </c>
      <c r="B70" s="72" t="s">
        <v>439</v>
      </c>
      <c r="C70" s="72" t="s">
        <v>658</v>
      </c>
      <c r="D70" s="73">
        <v>42768</v>
      </c>
      <c r="F70" s="72">
        <v>5297648.2070000004</v>
      </c>
      <c r="G70" s="72">
        <v>1644121.3119999999</v>
      </c>
      <c r="H70" s="72">
        <v>12.851000000000001</v>
      </c>
      <c r="I70" s="74" t="s">
        <v>13</v>
      </c>
      <c r="J70" s="72">
        <f>SUM(H70-H$50)</f>
        <v>0.65300000000000047</v>
      </c>
      <c r="K70" s="75">
        <v>0.70609999999999995</v>
      </c>
      <c r="L70" s="75">
        <f>SUM(J70:K70)-0.4</f>
        <v>0.9591000000000004</v>
      </c>
    </row>
    <row r="71" spans="1:21" x14ac:dyDescent="0.3">
      <c r="C71" s="72" t="s">
        <v>658</v>
      </c>
    </row>
    <row r="72" spans="1:21" x14ac:dyDescent="0.3">
      <c r="A72" s="72" t="s">
        <v>442</v>
      </c>
      <c r="B72" s="72" t="s">
        <v>439</v>
      </c>
      <c r="C72" s="72" t="s">
        <v>658</v>
      </c>
      <c r="D72" s="73">
        <v>42768</v>
      </c>
      <c r="E72" s="72">
        <v>1822</v>
      </c>
      <c r="F72" s="72">
        <v>5297741.659</v>
      </c>
      <c r="G72" s="72">
        <v>1644126.8940000001</v>
      </c>
      <c r="H72" s="72">
        <v>12.356999999999999</v>
      </c>
      <c r="I72" s="72" t="s">
        <v>427</v>
      </c>
    </row>
    <row r="73" spans="1:21" x14ac:dyDescent="0.3">
      <c r="A73" s="72" t="s">
        <v>141</v>
      </c>
      <c r="B73" s="72" t="s">
        <v>439</v>
      </c>
      <c r="C73" s="72" t="s">
        <v>658</v>
      </c>
      <c r="D73" s="73">
        <v>42768</v>
      </c>
      <c r="F73" s="72">
        <v>5297743.4749999996</v>
      </c>
      <c r="G73" s="72">
        <v>1644126.608</v>
      </c>
      <c r="H73" s="72">
        <v>12.906000000000001</v>
      </c>
      <c r="I73" s="72" t="s">
        <v>682</v>
      </c>
      <c r="J73" s="72">
        <f>SUM(H73-H$72)</f>
        <v>0.54900000000000126</v>
      </c>
      <c r="K73" s="75">
        <v>0.83209999999999995</v>
      </c>
      <c r="L73" s="75">
        <f>SUM(J73:K73)-0.4</f>
        <v>0.9811000000000013</v>
      </c>
      <c r="M73" s="72">
        <v>0.4</v>
      </c>
      <c r="N73" s="75">
        <f>AVERAGE(L73:L91)</f>
        <v>1.1217315789473692</v>
      </c>
      <c r="O73" s="75">
        <f>STDEVA(L73:L91)</f>
        <v>0.15665468412556355</v>
      </c>
    </row>
    <row r="74" spans="1:21" x14ac:dyDescent="0.3">
      <c r="A74" s="72" t="s">
        <v>144</v>
      </c>
      <c r="B74" s="72" t="s">
        <v>439</v>
      </c>
      <c r="C74" s="72" t="s">
        <v>658</v>
      </c>
      <c r="D74" s="73">
        <v>42768</v>
      </c>
      <c r="F74" s="72">
        <v>5297743.7970000003</v>
      </c>
      <c r="G74" s="72">
        <v>1644127.6310000001</v>
      </c>
      <c r="H74" s="72">
        <v>12.936999999999999</v>
      </c>
      <c r="I74" s="72" t="s">
        <v>682</v>
      </c>
      <c r="J74" s="72">
        <f>SUM(H74-H$72)</f>
        <v>0.58000000000000007</v>
      </c>
      <c r="K74" s="75">
        <v>0.83209999999999995</v>
      </c>
      <c r="L74" s="75">
        <f>SUM(J74:K74)-0.4</f>
        <v>1.0121000000000002</v>
      </c>
    </row>
    <row r="75" spans="1:21" x14ac:dyDescent="0.3">
      <c r="A75" s="72" t="s">
        <v>147</v>
      </c>
      <c r="B75" s="72" t="s">
        <v>439</v>
      </c>
      <c r="C75" s="72" t="s">
        <v>658</v>
      </c>
      <c r="D75" s="73">
        <v>42768</v>
      </c>
      <c r="F75" s="72">
        <v>5297744.0209999997</v>
      </c>
      <c r="G75" s="72">
        <v>1644127.976</v>
      </c>
      <c r="H75" s="72">
        <v>12.912000000000001</v>
      </c>
      <c r="I75" s="72" t="s">
        <v>682</v>
      </c>
      <c r="J75" s="72">
        <f>SUM(H75-H$72)</f>
        <v>0.55500000000000149</v>
      </c>
      <c r="K75" s="75">
        <v>0.83209999999999995</v>
      </c>
      <c r="L75" s="75">
        <f>SUM(J75:K75)-0.4</f>
        <v>0.98710000000000153</v>
      </c>
    </row>
    <row r="76" spans="1:21" x14ac:dyDescent="0.3">
      <c r="A76" s="72" t="s">
        <v>150</v>
      </c>
      <c r="B76" s="72" t="s">
        <v>439</v>
      </c>
      <c r="C76" s="72" t="s">
        <v>658</v>
      </c>
      <c r="D76" s="73">
        <v>42768</v>
      </c>
      <c r="F76" s="72">
        <v>5297744.2929999996</v>
      </c>
      <c r="G76" s="72">
        <v>1644128.1189999999</v>
      </c>
      <c r="H76" s="72">
        <v>12.849</v>
      </c>
      <c r="I76" s="72" t="s">
        <v>682</v>
      </c>
      <c r="J76" s="72">
        <f>SUM(H76-H$72)</f>
        <v>0.49200000000000088</v>
      </c>
      <c r="K76" s="75">
        <v>0.83209999999999995</v>
      </c>
      <c r="L76" s="75">
        <f>SUM(J76:K76)-0.4</f>
        <v>0.92410000000000092</v>
      </c>
      <c r="O76" s="72" t="s">
        <v>428</v>
      </c>
      <c r="P76" s="72" t="s">
        <v>429</v>
      </c>
      <c r="Q76" s="72" t="s">
        <v>430</v>
      </c>
      <c r="S76" s="72" t="s">
        <v>431</v>
      </c>
      <c r="T76" s="72">
        <v>1</v>
      </c>
      <c r="U76" s="72" t="s">
        <v>432</v>
      </c>
    </row>
    <row r="77" spans="1:21" x14ac:dyDescent="0.3">
      <c r="A77" s="72" t="s">
        <v>153</v>
      </c>
      <c r="B77" s="72" t="s">
        <v>439</v>
      </c>
      <c r="C77" s="72" t="s">
        <v>658</v>
      </c>
      <c r="D77" s="73">
        <v>42768</v>
      </c>
      <c r="F77" s="72">
        <v>5297744.4780000001</v>
      </c>
      <c r="G77" s="72">
        <v>1644128.4580000001</v>
      </c>
      <c r="H77" s="72">
        <v>12.942</v>
      </c>
      <c r="I77" s="72" t="s">
        <v>682</v>
      </c>
      <c r="J77" s="72">
        <f>SUM(H77-H$72)</f>
        <v>0.58500000000000085</v>
      </c>
      <c r="K77" s="75">
        <v>0.83209999999999995</v>
      </c>
      <c r="L77" s="75">
        <f>SUM(J77:K77)-0.4</f>
        <v>1.017100000000001</v>
      </c>
      <c r="O77" s="72">
        <v>16</v>
      </c>
      <c r="P77" s="72">
        <v>4</v>
      </c>
      <c r="Q77" s="72">
        <f>SUM(P77/60)+O77</f>
        <v>16.066666666666666</v>
      </c>
      <c r="R77" s="72" t="s">
        <v>433</v>
      </c>
      <c r="S77" s="72">
        <f>SUM(Q79-Q77)/(Q78-Q77)</f>
        <v>0.37500000000000017</v>
      </c>
      <c r="T77" s="72">
        <f>SUM(S77+1)</f>
        <v>1.3750000000000002</v>
      </c>
      <c r="U77" s="72">
        <f>SUM(T77*PI())</f>
        <v>4.319689898685966</v>
      </c>
    </row>
    <row r="78" spans="1:21" x14ac:dyDescent="0.3">
      <c r="A78" s="72" t="s">
        <v>156</v>
      </c>
      <c r="B78" s="72" t="s">
        <v>439</v>
      </c>
      <c r="C78" s="72" t="s">
        <v>658</v>
      </c>
      <c r="D78" s="73">
        <v>42768</v>
      </c>
      <c r="F78" s="72">
        <v>5297740.08</v>
      </c>
      <c r="G78" s="72">
        <v>1644125.0430000001</v>
      </c>
      <c r="H78" s="72">
        <v>12.823</v>
      </c>
      <c r="I78" s="72" t="s">
        <v>682</v>
      </c>
      <c r="J78" s="72">
        <f>SUM(H78-H$72)</f>
        <v>0.46600000000000108</v>
      </c>
      <c r="K78" s="75">
        <v>0.83209999999999995</v>
      </c>
      <c r="L78" s="75">
        <f>SUM(J78:K78)-0.4</f>
        <v>0.89810000000000112</v>
      </c>
      <c r="O78" s="72">
        <v>22</v>
      </c>
      <c r="P78" s="72">
        <v>12</v>
      </c>
      <c r="Q78" s="72">
        <f>SUM(P78/60)+O78</f>
        <v>22.2</v>
      </c>
      <c r="R78" s="72" t="s">
        <v>434</v>
      </c>
    </row>
    <row r="79" spans="1:21" x14ac:dyDescent="0.3">
      <c r="A79" s="72" t="s">
        <v>159</v>
      </c>
      <c r="B79" s="72" t="s">
        <v>439</v>
      </c>
      <c r="C79" s="72" t="s">
        <v>658</v>
      </c>
      <c r="D79" s="73">
        <v>42768</v>
      </c>
      <c r="F79" s="72">
        <v>5297741.858</v>
      </c>
      <c r="G79" s="72">
        <v>1644123.068</v>
      </c>
      <c r="H79" s="72">
        <v>13.010999999999999</v>
      </c>
      <c r="I79" s="72" t="s">
        <v>682</v>
      </c>
      <c r="J79" s="72">
        <f>SUM(H79-H$72)</f>
        <v>0.65399999999999991</v>
      </c>
      <c r="K79" s="75">
        <v>0.83209999999999995</v>
      </c>
      <c r="L79" s="75">
        <f>SUM(J79:K79)-0.4</f>
        <v>1.0861000000000001</v>
      </c>
      <c r="O79" s="72">
        <v>18</v>
      </c>
      <c r="P79" s="72">
        <v>22</v>
      </c>
      <c r="Q79" s="72">
        <f>SUM(P79/60)+O79</f>
        <v>18.366666666666667</v>
      </c>
      <c r="R79" s="72" t="s">
        <v>435</v>
      </c>
    </row>
    <row r="80" spans="1:21" x14ac:dyDescent="0.3">
      <c r="A80" s="72" t="s">
        <v>162</v>
      </c>
      <c r="B80" s="72" t="s">
        <v>439</v>
      </c>
      <c r="C80" s="72" t="s">
        <v>658</v>
      </c>
      <c r="D80" s="73">
        <v>42768</v>
      </c>
      <c r="F80" s="72">
        <v>5297742.2439999999</v>
      </c>
      <c r="G80" s="72">
        <v>1644123.4129999999</v>
      </c>
      <c r="H80" s="72">
        <v>13.114000000000001</v>
      </c>
      <c r="I80" s="72" t="s">
        <v>682</v>
      </c>
      <c r="J80" s="72">
        <f>SUM(H80-H$72)</f>
        <v>0.75700000000000145</v>
      </c>
      <c r="K80" s="75">
        <v>0.83209999999999995</v>
      </c>
      <c r="L80" s="75">
        <f>SUM(J80:K80)-0.4</f>
        <v>1.1891000000000016</v>
      </c>
    </row>
    <row r="81" spans="1:19" x14ac:dyDescent="0.3">
      <c r="A81" s="72" t="s">
        <v>165</v>
      </c>
      <c r="B81" s="72" t="s">
        <v>439</v>
      </c>
      <c r="C81" s="72" t="s">
        <v>658</v>
      </c>
      <c r="D81" s="73">
        <v>42768</v>
      </c>
      <c r="F81" s="72">
        <v>5297742.8449999997</v>
      </c>
      <c r="G81" s="72">
        <v>1644123.8740000001</v>
      </c>
      <c r="H81" s="72">
        <v>12.972</v>
      </c>
      <c r="I81" s="72" t="s">
        <v>682</v>
      </c>
      <c r="J81" s="72">
        <f>SUM(H81-H$72)</f>
        <v>0.61500000000000021</v>
      </c>
      <c r="K81" s="75">
        <v>0.83209999999999995</v>
      </c>
      <c r="L81" s="75">
        <f>SUM(J81:K81)-0.4</f>
        <v>1.0471000000000004</v>
      </c>
    </row>
    <row r="82" spans="1:19" x14ac:dyDescent="0.3">
      <c r="A82" s="72" t="s">
        <v>168</v>
      </c>
      <c r="B82" s="72" t="s">
        <v>439</v>
      </c>
      <c r="C82" s="72" t="s">
        <v>658</v>
      </c>
      <c r="D82" s="73">
        <v>42768</v>
      </c>
      <c r="F82" s="72">
        <v>5297745.2139999997</v>
      </c>
      <c r="G82" s="72">
        <v>1644125.3970000001</v>
      </c>
      <c r="H82" s="72">
        <v>12.99</v>
      </c>
      <c r="I82" s="72" t="s">
        <v>682</v>
      </c>
      <c r="J82" s="72">
        <f>SUM(H82-H$72)</f>
        <v>0.6330000000000009</v>
      </c>
      <c r="K82" s="75">
        <v>0.83209999999999995</v>
      </c>
      <c r="L82" s="75">
        <f>SUM(J82:K82)-0.4</f>
        <v>1.065100000000001</v>
      </c>
    </row>
    <row r="83" spans="1:19" x14ac:dyDescent="0.3">
      <c r="A83" s="72" t="s">
        <v>171</v>
      </c>
      <c r="B83" s="72" t="s">
        <v>439</v>
      </c>
      <c r="C83" s="72" t="s">
        <v>658</v>
      </c>
      <c r="D83" s="73">
        <v>42768</v>
      </c>
      <c r="F83" s="72">
        <v>5297744.7379999999</v>
      </c>
      <c r="G83" s="72">
        <v>1644125.781</v>
      </c>
      <c r="H83" s="72">
        <v>12.99</v>
      </c>
      <c r="I83" s="72" t="s">
        <v>682</v>
      </c>
      <c r="J83" s="72">
        <f>SUM(H83-H$72)</f>
        <v>0.6330000000000009</v>
      </c>
      <c r="K83" s="75">
        <v>0.83209999999999995</v>
      </c>
      <c r="L83" s="75">
        <f>SUM(J83:K83)-0.4</f>
        <v>1.065100000000001</v>
      </c>
    </row>
    <row r="84" spans="1:19" x14ac:dyDescent="0.3">
      <c r="A84" s="72" t="s">
        <v>174</v>
      </c>
      <c r="B84" s="72" t="s">
        <v>439</v>
      </c>
      <c r="C84" s="72" t="s">
        <v>658</v>
      </c>
      <c r="D84" s="73">
        <v>42768</v>
      </c>
      <c r="F84" s="72">
        <v>5297749.9289999995</v>
      </c>
      <c r="G84" s="72">
        <v>1644122.412</v>
      </c>
      <c r="H84" s="72">
        <v>13.169</v>
      </c>
      <c r="I84" s="72" t="s">
        <v>682</v>
      </c>
      <c r="J84" s="72">
        <f>SUM(H84-H$72)</f>
        <v>0.81200000000000117</v>
      </c>
      <c r="K84" s="75">
        <v>0.83209999999999995</v>
      </c>
      <c r="L84" s="75">
        <f>SUM(J84:K84)-0.4</f>
        <v>1.2441000000000013</v>
      </c>
      <c r="O84" s="72" t="s">
        <v>436</v>
      </c>
      <c r="P84" s="72" t="s">
        <v>437</v>
      </c>
      <c r="Q84" s="71" t="s">
        <v>438</v>
      </c>
      <c r="S84" s="11" t="s">
        <v>680</v>
      </c>
    </row>
    <row r="85" spans="1:19" ht="15.6" x14ac:dyDescent="0.35">
      <c r="A85" s="72" t="s">
        <v>177</v>
      </c>
      <c r="B85" s="72" t="s">
        <v>439</v>
      </c>
      <c r="C85" s="72" t="s">
        <v>658</v>
      </c>
      <c r="D85" s="73">
        <v>42768</v>
      </c>
      <c r="F85" s="72">
        <v>5297750.3710000003</v>
      </c>
      <c r="G85" s="72">
        <v>1644122.787</v>
      </c>
      <c r="H85" s="72">
        <v>13.013999999999999</v>
      </c>
      <c r="I85" s="72" t="s">
        <v>682</v>
      </c>
      <c r="J85" s="72">
        <f>SUM(H85-H$72)</f>
        <v>0.65700000000000003</v>
      </c>
      <c r="K85" s="75">
        <v>0.83209999999999995</v>
      </c>
      <c r="L85" s="75">
        <f>SUM(J85:K85)-0.4</f>
        <v>1.0891000000000002</v>
      </c>
      <c r="O85" s="72">
        <v>0.4</v>
      </c>
      <c r="P85" s="72">
        <v>1.8</v>
      </c>
      <c r="Q85" s="76">
        <f>SUM(O85+(P85-O85)*((COS(U77)+1)/2))</f>
        <v>0.83212159734443736</v>
      </c>
      <c r="S85" s="69" t="s">
        <v>683</v>
      </c>
    </row>
    <row r="86" spans="1:19" x14ac:dyDescent="0.3">
      <c r="A86" s="72" t="s">
        <v>180</v>
      </c>
      <c r="B86" s="72" t="s">
        <v>439</v>
      </c>
      <c r="C86" s="72" t="s">
        <v>658</v>
      </c>
      <c r="D86" s="73">
        <v>42768</v>
      </c>
      <c r="F86" s="72">
        <v>5297757.1749999998</v>
      </c>
      <c r="G86" s="72">
        <v>1644123.9350000001</v>
      </c>
      <c r="H86" s="72">
        <v>13.444000000000001</v>
      </c>
      <c r="I86" s="72" t="s">
        <v>682</v>
      </c>
      <c r="J86" s="72">
        <f>SUM(H86-H$72)</f>
        <v>1.0870000000000015</v>
      </c>
      <c r="K86" s="75">
        <v>0.83209999999999995</v>
      </c>
      <c r="L86" s="75">
        <f>SUM(J86:K86)-0.4</f>
        <v>1.5191000000000017</v>
      </c>
    </row>
    <row r="87" spans="1:19" x14ac:dyDescent="0.3">
      <c r="A87" s="72" t="s">
        <v>183</v>
      </c>
      <c r="B87" s="72" t="s">
        <v>439</v>
      </c>
      <c r="C87" s="72" t="s">
        <v>658</v>
      </c>
      <c r="D87" s="73">
        <v>42768</v>
      </c>
      <c r="F87" s="72">
        <v>5297758.7640000004</v>
      </c>
      <c r="G87" s="72">
        <v>1644127.4410000001</v>
      </c>
      <c r="H87" s="72">
        <v>13.260999999999999</v>
      </c>
      <c r="I87" s="72" t="s">
        <v>682</v>
      </c>
      <c r="J87" s="72">
        <f>SUM(H87-H$72)</f>
        <v>0.90399999999999991</v>
      </c>
      <c r="K87" s="75">
        <v>0.83209999999999995</v>
      </c>
      <c r="L87" s="75">
        <f>SUM(J87:K87)-0.4</f>
        <v>1.3361000000000001</v>
      </c>
    </row>
    <row r="88" spans="1:19" x14ac:dyDescent="0.3">
      <c r="A88" s="72" t="s">
        <v>186</v>
      </c>
      <c r="B88" s="72" t="s">
        <v>439</v>
      </c>
      <c r="C88" s="72" t="s">
        <v>658</v>
      </c>
      <c r="D88" s="73">
        <v>42768</v>
      </c>
      <c r="F88" s="72">
        <v>5297760.2709999997</v>
      </c>
      <c r="G88" s="72">
        <v>1644127.4839999999</v>
      </c>
      <c r="H88" s="72">
        <v>13.257999999999999</v>
      </c>
      <c r="I88" s="72" t="s">
        <v>682</v>
      </c>
      <c r="J88" s="72">
        <f>SUM(H88-H$72)</f>
        <v>0.9009999999999998</v>
      </c>
      <c r="K88" s="75">
        <v>0.83209999999999995</v>
      </c>
      <c r="L88" s="75">
        <f>SUM(J88:K88)-0.4</f>
        <v>1.3331</v>
      </c>
    </row>
    <row r="89" spans="1:19" x14ac:dyDescent="0.3">
      <c r="A89" s="72" t="s">
        <v>189</v>
      </c>
      <c r="B89" s="72" t="s">
        <v>439</v>
      </c>
      <c r="C89" s="72" t="s">
        <v>658</v>
      </c>
      <c r="D89" s="73">
        <v>42768</v>
      </c>
      <c r="F89" s="72">
        <v>5297761.193</v>
      </c>
      <c r="G89" s="72">
        <v>1644127.8319999999</v>
      </c>
      <c r="H89" s="72">
        <v>13.099</v>
      </c>
      <c r="I89" s="72" t="s">
        <v>682</v>
      </c>
      <c r="J89" s="72">
        <f>SUM(H89-H$72)</f>
        <v>0.74200000000000088</v>
      </c>
      <c r="K89" s="75">
        <v>0.83209999999999995</v>
      </c>
      <c r="L89" s="75">
        <f>SUM(J89:K89)-0.4</f>
        <v>1.174100000000001</v>
      </c>
    </row>
    <row r="90" spans="1:19" x14ac:dyDescent="0.3">
      <c r="A90" s="72" t="s">
        <v>192</v>
      </c>
      <c r="B90" s="72" t="s">
        <v>439</v>
      </c>
      <c r="C90" s="72" t="s">
        <v>658</v>
      </c>
      <c r="D90" s="73">
        <v>42768</v>
      </c>
      <c r="F90" s="72">
        <v>5297759.9539999999</v>
      </c>
      <c r="G90" s="72">
        <v>1644129.0530000001</v>
      </c>
      <c r="H90" s="72">
        <v>13.125</v>
      </c>
      <c r="I90" s="72" t="s">
        <v>682</v>
      </c>
      <c r="J90" s="72">
        <f>SUM(H90-H$72)</f>
        <v>0.76800000000000068</v>
      </c>
      <c r="K90" s="75">
        <v>0.83209999999999995</v>
      </c>
      <c r="L90" s="75">
        <f>SUM(J90:K90)-0.4</f>
        <v>1.2001000000000008</v>
      </c>
    </row>
    <row r="91" spans="1:19" x14ac:dyDescent="0.3">
      <c r="A91" s="72" t="s">
        <v>195</v>
      </c>
      <c r="B91" s="72" t="s">
        <v>439</v>
      </c>
      <c r="C91" s="72" t="s">
        <v>658</v>
      </c>
      <c r="D91" s="73">
        <v>42768</v>
      </c>
      <c r="F91" s="72">
        <v>5297760.6129999999</v>
      </c>
      <c r="G91" s="72">
        <v>1644129.0260000001</v>
      </c>
      <c r="H91" s="72">
        <v>13.07</v>
      </c>
      <c r="I91" s="72" t="s">
        <v>682</v>
      </c>
      <c r="J91" s="72">
        <f>SUM(H91-H$72)</f>
        <v>0.71300000000000097</v>
      </c>
      <c r="K91" s="75">
        <v>0.83209999999999995</v>
      </c>
      <c r="L91" s="75">
        <f>SUM(J91:K91)-0.4</f>
        <v>1.1451000000000011</v>
      </c>
    </row>
    <row r="93" spans="1:19" x14ac:dyDescent="0.3">
      <c r="A93" s="72" t="s">
        <v>443</v>
      </c>
      <c r="B93" s="72" t="s">
        <v>447</v>
      </c>
      <c r="C93" s="72" t="s">
        <v>658</v>
      </c>
      <c r="D93" s="73">
        <v>42768</v>
      </c>
      <c r="E93" s="72">
        <v>1335</v>
      </c>
      <c r="F93" s="72">
        <v>5304028.9400000004</v>
      </c>
      <c r="G93" s="72">
        <v>1657677.2749999999</v>
      </c>
      <c r="H93" s="72">
        <v>11.645</v>
      </c>
      <c r="I93" s="72" t="s">
        <v>427</v>
      </c>
    </row>
    <row r="94" spans="1:19" x14ac:dyDescent="0.3">
      <c r="A94" s="72" t="s">
        <v>206</v>
      </c>
      <c r="B94" s="72" t="s">
        <v>447</v>
      </c>
      <c r="C94" s="72" t="s">
        <v>658</v>
      </c>
      <c r="D94" s="73">
        <v>42768</v>
      </c>
      <c r="F94" s="72">
        <v>5304029.8490000004</v>
      </c>
      <c r="G94" s="72">
        <v>1657679.7609999999</v>
      </c>
      <c r="H94" s="72">
        <v>11.994</v>
      </c>
      <c r="I94" s="74" t="s">
        <v>11</v>
      </c>
      <c r="J94" s="72">
        <f>SUM(H94-H$93)</f>
        <v>0.3490000000000002</v>
      </c>
      <c r="K94" s="75">
        <v>0.87809999999999999</v>
      </c>
      <c r="L94" s="75">
        <f>SUM(J94:K94)-0.2</f>
        <v>1.0271000000000001</v>
      </c>
      <c r="M94" s="72">
        <v>0.2</v>
      </c>
      <c r="N94" s="75">
        <f>AVERAGE(L94:L112)</f>
        <v>1.108626315789474</v>
      </c>
      <c r="O94" s="75">
        <f>STDEVA(L94:L112)</f>
        <v>5.9590611136927624E-2</v>
      </c>
    </row>
    <row r="95" spans="1:19" x14ac:dyDescent="0.3">
      <c r="A95" s="72" t="s">
        <v>209</v>
      </c>
      <c r="B95" s="72" t="s">
        <v>447</v>
      </c>
      <c r="C95" s="72" t="s">
        <v>658</v>
      </c>
      <c r="D95" s="73">
        <v>42768</v>
      </c>
      <c r="F95" s="72">
        <v>5304030.7189999996</v>
      </c>
      <c r="G95" s="72">
        <v>1657679.186</v>
      </c>
      <c r="H95" s="72">
        <v>12.055</v>
      </c>
      <c r="I95" s="74" t="s">
        <v>11</v>
      </c>
      <c r="J95" s="72">
        <f>SUM(H95-H$93)</f>
        <v>0.41000000000000014</v>
      </c>
      <c r="K95" s="75">
        <v>0.87809999999999999</v>
      </c>
      <c r="L95" s="75">
        <f>SUM(J95:K95)-0.2</f>
        <v>1.0881000000000001</v>
      </c>
    </row>
    <row r="96" spans="1:19" x14ac:dyDescent="0.3">
      <c r="A96" s="72" t="s">
        <v>212</v>
      </c>
      <c r="B96" s="72" t="s">
        <v>447</v>
      </c>
      <c r="C96" s="72" t="s">
        <v>658</v>
      </c>
      <c r="D96" s="73">
        <v>42768</v>
      </c>
      <c r="F96" s="72">
        <v>5304019.7319999998</v>
      </c>
      <c r="G96" s="72">
        <v>1657664.0830000001</v>
      </c>
      <c r="H96" s="72">
        <v>12.11</v>
      </c>
      <c r="I96" s="74" t="s">
        <v>11</v>
      </c>
      <c r="J96" s="72">
        <f>SUM(H96-H$93)</f>
        <v>0.46499999999999986</v>
      </c>
      <c r="K96" s="75">
        <v>0.87809999999999999</v>
      </c>
      <c r="L96" s="75">
        <f>SUM(J96:K96)-0.2</f>
        <v>1.1430999999999998</v>
      </c>
    </row>
    <row r="97" spans="1:21" x14ac:dyDescent="0.3">
      <c r="A97" s="72" t="s">
        <v>215</v>
      </c>
      <c r="B97" s="72" t="s">
        <v>447</v>
      </c>
      <c r="C97" s="72" t="s">
        <v>658</v>
      </c>
      <c r="D97" s="73">
        <v>42768</v>
      </c>
      <c r="F97" s="72">
        <v>5304024.9680000003</v>
      </c>
      <c r="G97" s="72">
        <v>1657661.888</v>
      </c>
      <c r="H97" s="72">
        <v>12.089</v>
      </c>
      <c r="I97" s="74" t="s">
        <v>11</v>
      </c>
      <c r="J97" s="72">
        <f>SUM(H97-H$93)</f>
        <v>0.44400000000000084</v>
      </c>
      <c r="K97" s="75">
        <v>0.87809999999999999</v>
      </c>
      <c r="L97" s="75">
        <f>SUM(J97:K97)-0.2</f>
        <v>1.1221000000000008</v>
      </c>
    </row>
    <row r="98" spans="1:21" x14ac:dyDescent="0.3">
      <c r="A98" s="72" t="s">
        <v>218</v>
      </c>
      <c r="B98" s="72" t="s">
        <v>447</v>
      </c>
      <c r="C98" s="72" t="s">
        <v>658</v>
      </c>
      <c r="D98" s="73">
        <v>42768</v>
      </c>
      <c r="F98" s="72">
        <v>5304023.7829999998</v>
      </c>
      <c r="G98" s="72">
        <v>1657662.4240000001</v>
      </c>
      <c r="H98" s="72">
        <v>12.095000000000001</v>
      </c>
      <c r="I98" s="74" t="s">
        <v>11</v>
      </c>
      <c r="J98" s="72">
        <f>SUM(H98-H$93)</f>
        <v>0.45000000000000107</v>
      </c>
      <c r="K98" s="75">
        <v>0.87809999999999999</v>
      </c>
      <c r="L98" s="75">
        <f>SUM(J98:K98)-0.2</f>
        <v>1.128100000000001</v>
      </c>
      <c r="O98" s="72" t="s">
        <v>428</v>
      </c>
      <c r="P98" s="72" t="s">
        <v>429</v>
      </c>
      <c r="Q98" s="72" t="s">
        <v>430</v>
      </c>
      <c r="S98" s="72" t="s">
        <v>431</v>
      </c>
      <c r="T98" s="72">
        <v>1</v>
      </c>
      <c r="U98" s="72" t="s">
        <v>432</v>
      </c>
    </row>
    <row r="99" spans="1:21" x14ac:dyDescent="0.3">
      <c r="A99" s="72" t="s">
        <v>221</v>
      </c>
      <c r="B99" s="72" t="s">
        <v>447</v>
      </c>
      <c r="C99" s="72" t="s">
        <v>658</v>
      </c>
      <c r="D99" s="73">
        <v>42768</v>
      </c>
      <c r="F99" s="72">
        <v>5304026.2970000003</v>
      </c>
      <c r="G99" s="72">
        <v>1657660.2180000001</v>
      </c>
      <c r="H99" s="72">
        <v>12.125999999999999</v>
      </c>
      <c r="I99" s="74" t="s">
        <v>11</v>
      </c>
      <c r="J99" s="72">
        <f>SUM(H99-H$93)</f>
        <v>0.48099999999999987</v>
      </c>
      <c r="K99" s="75">
        <v>0.87809999999999999</v>
      </c>
      <c r="L99" s="75">
        <f>SUM(J99:K99)-0.2</f>
        <v>1.1590999999999998</v>
      </c>
      <c r="O99" s="72">
        <v>9</v>
      </c>
      <c r="P99" s="72">
        <v>49</v>
      </c>
      <c r="Q99" s="72">
        <f>SUM(P99/60)+O99</f>
        <v>9.8166666666666664</v>
      </c>
      <c r="R99" s="72" t="s">
        <v>433</v>
      </c>
      <c r="S99" s="72">
        <f>SUM(Q101-Q99)/(Q100-Q99)</f>
        <v>0.60266666666666679</v>
      </c>
      <c r="T99" s="72">
        <f>SUM(S99+1)</f>
        <v>1.6026666666666669</v>
      </c>
      <c r="U99" s="72">
        <f>SUM(T99*PI())</f>
        <v>5.0349258261532421</v>
      </c>
    </row>
    <row r="100" spans="1:21" x14ac:dyDescent="0.3">
      <c r="A100" s="72" t="s">
        <v>224</v>
      </c>
      <c r="B100" s="72" t="s">
        <v>447</v>
      </c>
      <c r="C100" s="72" t="s">
        <v>658</v>
      </c>
      <c r="D100" s="73">
        <v>42768</v>
      </c>
      <c r="F100" s="72">
        <v>5304027.4309999999</v>
      </c>
      <c r="G100" s="72">
        <v>1657658.942</v>
      </c>
      <c r="H100" s="72">
        <v>12.115</v>
      </c>
      <c r="I100" s="74" t="s">
        <v>11</v>
      </c>
      <c r="J100" s="72">
        <f>SUM(H100-H$93)</f>
        <v>0.47000000000000064</v>
      </c>
      <c r="K100" s="75">
        <v>0.87809999999999999</v>
      </c>
      <c r="L100" s="75">
        <f>SUM(J100:K100)-0.2</f>
        <v>1.1481000000000006</v>
      </c>
      <c r="O100" s="72">
        <v>16</v>
      </c>
      <c r="P100" s="72">
        <v>4</v>
      </c>
      <c r="Q100" s="72">
        <f>SUM(P100/60)+O100</f>
        <v>16.066666666666666</v>
      </c>
      <c r="R100" s="72" t="s">
        <v>434</v>
      </c>
    </row>
    <row r="101" spans="1:21" x14ac:dyDescent="0.3">
      <c r="A101" s="72" t="s">
        <v>227</v>
      </c>
      <c r="B101" s="72" t="s">
        <v>447</v>
      </c>
      <c r="C101" s="72" t="s">
        <v>658</v>
      </c>
      <c r="D101" s="73">
        <v>42768</v>
      </c>
      <c r="F101" s="72">
        <v>5304028.2120000003</v>
      </c>
      <c r="G101" s="72">
        <v>1657658.584</v>
      </c>
      <c r="H101" s="72">
        <v>12.103</v>
      </c>
      <c r="I101" s="74" t="s">
        <v>11</v>
      </c>
      <c r="J101" s="72">
        <f>SUM(H101-H$93)</f>
        <v>0.45800000000000018</v>
      </c>
      <c r="K101" s="75">
        <v>0.87809999999999999</v>
      </c>
      <c r="L101" s="75">
        <f>SUM(J101:K101)-0.2</f>
        <v>1.1361000000000001</v>
      </c>
      <c r="O101" s="72">
        <v>13</v>
      </c>
      <c r="P101" s="72">
        <v>35</v>
      </c>
      <c r="Q101" s="72">
        <f>SUM(P101/60)+O101</f>
        <v>13.583333333333334</v>
      </c>
      <c r="R101" s="72" t="s">
        <v>435</v>
      </c>
    </row>
    <row r="102" spans="1:21" x14ac:dyDescent="0.3">
      <c r="A102" s="72" t="s">
        <v>230</v>
      </c>
      <c r="B102" s="72" t="s">
        <v>447</v>
      </c>
      <c r="C102" s="72" t="s">
        <v>658</v>
      </c>
      <c r="D102" s="73">
        <v>42768</v>
      </c>
      <c r="F102" s="72">
        <v>5304028.1490000002</v>
      </c>
      <c r="G102" s="72">
        <v>1657658.27</v>
      </c>
      <c r="H102" s="72">
        <v>12.099</v>
      </c>
      <c r="I102" s="74" t="s">
        <v>11</v>
      </c>
      <c r="J102" s="72">
        <f>SUM(H102-H$93)</f>
        <v>0.45400000000000063</v>
      </c>
      <c r="K102" s="75">
        <v>0.87809999999999999</v>
      </c>
      <c r="L102" s="75">
        <f>SUM(J102:K102)-0.2</f>
        <v>1.1321000000000006</v>
      </c>
    </row>
    <row r="103" spans="1:21" x14ac:dyDescent="0.3">
      <c r="A103" s="72" t="s">
        <v>233</v>
      </c>
      <c r="B103" s="72" t="s">
        <v>447</v>
      </c>
      <c r="C103" s="72" t="s">
        <v>658</v>
      </c>
      <c r="D103" s="73">
        <v>42768</v>
      </c>
      <c r="F103" s="72">
        <v>5304025.1720000003</v>
      </c>
      <c r="G103" s="72">
        <v>1657658.8759999999</v>
      </c>
      <c r="H103" s="72">
        <v>12.051</v>
      </c>
      <c r="I103" s="74" t="s">
        <v>11</v>
      </c>
      <c r="J103" s="72">
        <f>SUM(H103-H$93)</f>
        <v>0.40600000000000058</v>
      </c>
      <c r="K103" s="75">
        <v>0.87809999999999999</v>
      </c>
      <c r="L103" s="75">
        <f>SUM(J103:K103)-0.2</f>
        <v>1.0841000000000005</v>
      </c>
    </row>
    <row r="104" spans="1:21" x14ac:dyDescent="0.3">
      <c r="A104" s="72" t="s">
        <v>236</v>
      </c>
      <c r="B104" s="72" t="s">
        <v>447</v>
      </c>
      <c r="C104" s="72" t="s">
        <v>658</v>
      </c>
      <c r="D104" s="73">
        <v>42768</v>
      </c>
      <c r="F104" s="72">
        <v>5304026.7939999998</v>
      </c>
      <c r="G104" s="72">
        <v>1657655.773</v>
      </c>
      <c r="H104" s="72">
        <v>12.086</v>
      </c>
      <c r="I104" s="74" t="s">
        <v>11</v>
      </c>
      <c r="J104" s="72">
        <f>SUM(H104-H$93)</f>
        <v>0.44100000000000072</v>
      </c>
      <c r="K104" s="75">
        <v>0.87809999999999999</v>
      </c>
      <c r="L104" s="75">
        <f>SUM(J104:K104)-0.2</f>
        <v>1.1191000000000006</v>
      </c>
    </row>
    <row r="105" spans="1:21" x14ac:dyDescent="0.3">
      <c r="A105" s="72" t="s">
        <v>239</v>
      </c>
      <c r="B105" s="72" t="s">
        <v>447</v>
      </c>
      <c r="C105" s="72" t="s">
        <v>658</v>
      </c>
      <c r="D105" s="73">
        <v>42768</v>
      </c>
      <c r="F105" s="72">
        <v>5304026.0259999996</v>
      </c>
      <c r="G105" s="72">
        <v>1657650.916</v>
      </c>
      <c r="H105" s="72">
        <v>12.041</v>
      </c>
      <c r="I105" s="74" t="s">
        <v>11</v>
      </c>
      <c r="J105" s="72">
        <f>SUM(H105-H$93)</f>
        <v>0.3960000000000008</v>
      </c>
      <c r="K105" s="75">
        <v>0.87809999999999999</v>
      </c>
      <c r="L105" s="75">
        <f>SUM(J105:K105)-0.2</f>
        <v>1.0741000000000007</v>
      </c>
    </row>
    <row r="106" spans="1:21" x14ac:dyDescent="0.3">
      <c r="A106" s="72" t="s">
        <v>242</v>
      </c>
      <c r="B106" s="72" t="s">
        <v>447</v>
      </c>
      <c r="C106" s="72" t="s">
        <v>658</v>
      </c>
      <c r="D106" s="73">
        <v>42768</v>
      </c>
      <c r="F106" s="72">
        <v>5304026.3810000001</v>
      </c>
      <c r="G106" s="72">
        <v>1657649.898</v>
      </c>
      <c r="H106" s="72">
        <v>12.03</v>
      </c>
      <c r="I106" s="74" t="s">
        <v>11</v>
      </c>
      <c r="J106" s="72">
        <f>SUM(H106-H$93)</f>
        <v>0.38499999999999979</v>
      </c>
      <c r="K106" s="75">
        <v>0.87809999999999999</v>
      </c>
      <c r="L106" s="75">
        <f>SUM(J106:K106)-0.2</f>
        <v>1.0630999999999997</v>
      </c>
      <c r="O106" s="72" t="s">
        <v>436</v>
      </c>
      <c r="P106" s="72" t="s">
        <v>437</v>
      </c>
      <c r="Q106" s="71" t="s">
        <v>438</v>
      </c>
      <c r="S106" s="11" t="s">
        <v>680</v>
      </c>
    </row>
    <row r="107" spans="1:21" ht="15.6" x14ac:dyDescent="0.35">
      <c r="A107" s="72" t="s">
        <v>245</v>
      </c>
      <c r="B107" s="72" t="s">
        <v>447</v>
      </c>
      <c r="C107" s="72" t="s">
        <v>658</v>
      </c>
      <c r="D107" s="73">
        <v>42768</v>
      </c>
      <c r="F107" s="72">
        <v>5304027.3830000004</v>
      </c>
      <c r="G107" s="72">
        <v>1657649.23</v>
      </c>
      <c r="H107" s="72">
        <v>12.032999999999999</v>
      </c>
      <c r="I107" s="74" t="s">
        <v>11</v>
      </c>
      <c r="J107" s="72">
        <f>SUM(H107-H$93)</f>
        <v>0.3879999999999999</v>
      </c>
      <c r="K107" s="75">
        <v>0.87809999999999999</v>
      </c>
      <c r="L107" s="75">
        <f>SUM(J107:K107)-0.2</f>
        <v>1.0660999999999998</v>
      </c>
      <c r="O107" s="72">
        <v>1.8</v>
      </c>
      <c r="P107" s="72">
        <v>0.4</v>
      </c>
      <c r="Q107" s="76">
        <f>SUM(O107+(P107-O107)*((COS(U99)+1)/2))</f>
        <v>0.87811847322585379</v>
      </c>
      <c r="S107" s="69" t="s">
        <v>683</v>
      </c>
    </row>
    <row r="108" spans="1:21" x14ac:dyDescent="0.3">
      <c r="A108" s="72" t="s">
        <v>248</v>
      </c>
      <c r="B108" s="72" t="s">
        <v>447</v>
      </c>
      <c r="C108" s="72" t="s">
        <v>658</v>
      </c>
      <c r="D108" s="73">
        <v>42768</v>
      </c>
      <c r="F108" s="72">
        <v>5304030.2429999998</v>
      </c>
      <c r="G108" s="72">
        <v>1657649.46</v>
      </c>
      <c r="H108" s="72">
        <v>12.022</v>
      </c>
      <c r="I108" s="74" t="s">
        <v>11</v>
      </c>
      <c r="J108" s="72">
        <f>SUM(H108-H$93)</f>
        <v>0.37700000000000067</v>
      </c>
      <c r="K108" s="75">
        <v>0.87809999999999999</v>
      </c>
      <c r="L108" s="75">
        <f>SUM(J108:K108)-0.2</f>
        <v>1.0551000000000006</v>
      </c>
    </row>
    <row r="109" spans="1:21" x14ac:dyDescent="0.3">
      <c r="A109" s="72" t="s">
        <v>251</v>
      </c>
      <c r="B109" s="72" t="s">
        <v>447</v>
      </c>
      <c r="C109" s="72" t="s">
        <v>658</v>
      </c>
      <c r="D109" s="73">
        <v>42768</v>
      </c>
      <c r="F109" s="72">
        <v>5304030.6950000003</v>
      </c>
      <c r="G109" s="72">
        <v>1657649.798</v>
      </c>
      <c r="H109" s="72">
        <v>11.945</v>
      </c>
      <c r="I109" s="74" t="s">
        <v>11</v>
      </c>
      <c r="J109" s="72">
        <f>SUM(H109-H$93)</f>
        <v>0.30000000000000071</v>
      </c>
      <c r="K109" s="75">
        <v>0.87809999999999999</v>
      </c>
      <c r="L109" s="75">
        <f>SUM(J109:K109)-0.2</f>
        <v>0.97810000000000064</v>
      </c>
    </row>
    <row r="110" spans="1:21" x14ac:dyDescent="0.3">
      <c r="A110" s="72" t="s">
        <v>254</v>
      </c>
      <c r="B110" s="72" t="s">
        <v>447</v>
      </c>
      <c r="C110" s="72" t="s">
        <v>658</v>
      </c>
      <c r="D110" s="73">
        <v>42768</v>
      </c>
      <c r="F110" s="72">
        <v>5304031.99</v>
      </c>
      <c r="G110" s="72">
        <v>1657649.585</v>
      </c>
      <c r="H110" s="72">
        <v>12.22</v>
      </c>
      <c r="I110" s="74" t="s">
        <v>11</v>
      </c>
      <c r="J110" s="72">
        <f>SUM(H110-H$93)</f>
        <v>0.57500000000000107</v>
      </c>
      <c r="K110" s="75">
        <v>0.87809999999999999</v>
      </c>
      <c r="L110" s="75">
        <f>SUM(J110:K110)-0.2</f>
        <v>1.253100000000001</v>
      </c>
    </row>
    <row r="111" spans="1:21" x14ac:dyDescent="0.3">
      <c r="A111" s="72" t="s">
        <v>260</v>
      </c>
      <c r="B111" s="72" t="s">
        <v>447</v>
      </c>
      <c r="C111" s="72" t="s">
        <v>658</v>
      </c>
      <c r="D111" s="73">
        <v>42768</v>
      </c>
      <c r="F111" s="72">
        <v>5304033.1069999998</v>
      </c>
      <c r="G111" s="72">
        <v>1657649.9639999999</v>
      </c>
      <c r="H111" s="72">
        <v>12.129</v>
      </c>
      <c r="I111" s="74" t="s">
        <v>11</v>
      </c>
      <c r="J111" s="72">
        <f>SUM(H111-H$93)</f>
        <v>0.48399999999999999</v>
      </c>
      <c r="K111" s="75">
        <v>0.87809999999999999</v>
      </c>
      <c r="L111" s="75">
        <f>SUM(J111:K111)-0.2</f>
        <v>1.1620999999999999</v>
      </c>
    </row>
    <row r="112" spans="1:21" x14ac:dyDescent="0.3">
      <c r="A112" s="72" t="s">
        <v>263</v>
      </c>
      <c r="B112" s="72" t="s">
        <v>447</v>
      </c>
      <c r="C112" s="72" t="s">
        <v>658</v>
      </c>
      <c r="D112" s="73">
        <v>42768</v>
      </c>
      <c r="F112" s="72">
        <v>5304029.8590000002</v>
      </c>
      <c r="G112" s="72">
        <v>1657648.74</v>
      </c>
      <c r="H112" s="72">
        <v>12.092000000000001</v>
      </c>
      <c r="I112" s="74" t="s">
        <v>11</v>
      </c>
      <c r="J112" s="72">
        <f>SUM(H112-H$93)</f>
        <v>0.44700000000000095</v>
      </c>
      <c r="K112" s="75">
        <v>0.87809999999999999</v>
      </c>
      <c r="L112" s="75">
        <f>SUM(J112:K112)-0.2</f>
        <v>1.1251000000000009</v>
      </c>
    </row>
    <row r="113" spans="1:21" x14ac:dyDescent="0.3">
      <c r="D113" s="73"/>
    </row>
    <row r="114" spans="1:21" x14ac:dyDescent="0.3">
      <c r="A114" s="72" t="s">
        <v>444</v>
      </c>
      <c r="B114" s="72" t="s">
        <v>447</v>
      </c>
      <c r="C114" s="72" t="s">
        <v>658</v>
      </c>
      <c r="D114" s="73">
        <v>42768</v>
      </c>
      <c r="E114" s="72">
        <v>1356</v>
      </c>
      <c r="F114" s="72">
        <v>5304077.58</v>
      </c>
      <c r="G114" s="72">
        <v>1657841.1810000001</v>
      </c>
      <c r="H114" s="72">
        <v>11.529</v>
      </c>
      <c r="I114" s="72" t="s">
        <v>427</v>
      </c>
    </row>
    <row r="115" spans="1:21" x14ac:dyDescent="0.3">
      <c r="A115" s="72" t="s">
        <v>269</v>
      </c>
      <c r="B115" s="72" t="s">
        <v>447</v>
      </c>
      <c r="C115" s="72" t="s">
        <v>658</v>
      </c>
      <c r="D115" s="73">
        <v>42768</v>
      </c>
      <c r="F115" s="72">
        <v>5304077.5020000003</v>
      </c>
      <c r="G115" s="72">
        <v>1657839.737</v>
      </c>
      <c r="H115" s="72">
        <v>12.023999999999999</v>
      </c>
      <c r="I115" s="74" t="s">
        <v>11</v>
      </c>
      <c r="J115" s="72">
        <f>SUM(H115-H$114)</f>
        <v>0.49499999999999922</v>
      </c>
      <c r="K115" s="75">
        <v>0.76529999999999998</v>
      </c>
      <c r="L115" s="75">
        <f>SUM(J115:K115)-0.2</f>
        <v>1.0602999999999991</v>
      </c>
      <c r="M115" s="72">
        <v>0.2</v>
      </c>
      <c r="N115" s="72">
        <f>AVERAGE(L115:L133)</f>
        <v>1.0366157894736843</v>
      </c>
      <c r="O115" s="72">
        <f>STDEVA(L115:L133)</f>
        <v>0.10250043502974285</v>
      </c>
    </row>
    <row r="116" spans="1:21" x14ac:dyDescent="0.3">
      <c r="A116" s="72" t="s">
        <v>272</v>
      </c>
      <c r="B116" s="72" t="s">
        <v>447</v>
      </c>
      <c r="C116" s="72" t="s">
        <v>658</v>
      </c>
      <c r="D116" s="73">
        <v>42768</v>
      </c>
      <c r="F116" s="72">
        <v>5304077.7860000003</v>
      </c>
      <c r="G116" s="72">
        <v>1657840.7919999999</v>
      </c>
      <c r="H116" s="72">
        <v>11.914</v>
      </c>
      <c r="I116" s="74" t="s">
        <v>11</v>
      </c>
      <c r="J116" s="72">
        <f>SUM(H116-H$114)</f>
        <v>0.38499999999999979</v>
      </c>
      <c r="K116" s="75">
        <v>0.76529999999999998</v>
      </c>
      <c r="L116" s="75">
        <f>SUM(J116:K116)-0.2</f>
        <v>0.9502999999999997</v>
      </c>
    </row>
    <row r="117" spans="1:21" x14ac:dyDescent="0.3">
      <c r="A117" s="72" t="s">
        <v>275</v>
      </c>
      <c r="B117" s="72" t="s">
        <v>447</v>
      </c>
      <c r="C117" s="72" t="s">
        <v>658</v>
      </c>
      <c r="D117" s="73">
        <v>42768</v>
      </c>
      <c r="F117" s="72">
        <v>5304078.1260000002</v>
      </c>
      <c r="G117" s="72">
        <v>1657841.723</v>
      </c>
      <c r="H117" s="72">
        <v>11.938000000000001</v>
      </c>
      <c r="I117" s="74" t="s">
        <v>11</v>
      </c>
      <c r="J117" s="72">
        <f>SUM(H117-H$114)</f>
        <v>0.4090000000000007</v>
      </c>
      <c r="K117" s="75">
        <v>0.76529999999999998</v>
      </c>
      <c r="L117" s="75">
        <f>SUM(J117:K117)-0.2</f>
        <v>0.97430000000000061</v>
      </c>
    </row>
    <row r="118" spans="1:21" x14ac:dyDescent="0.3">
      <c r="A118" s="72" t="s">
        <v>278</v>
      </c>
      <c r="B118" s="72" t="s">
        <v>447</v>
      </c>
      <c r="C118" s="72" t="s">
        <v>658</v>
      </c>
      <c r="D118" s="73">
        <v>42768</v>
      </c>
      <c r="F118" s="72">
        <v>5304078.4749999996</v>
      </c>
      <c r="G118" s="72">
        <v>1657841.8119999999</v>
      </c>
      <c r="H118" s="72">
        <v>11.903</v>
      </c>
      <c r="I118" s="74" t="s">
        <v>11</v>
      </c>
      <c r="J118" s="72">
        <f>SUM(H118-H$114)</f>
        <v>0.37400000000000055</v>
      </c>
      <c r="K118" s="75">
        <v>0.76529999999999998</v>
      </c>
      <c r="L118" s="75">
        <f>SUM(J118:K118)-0.2</f>
        <v>0.93930000000000047</v>
      </c>
      <c r="O118" s="72" t="s">
        <v>428</v>
      </c>
      <c r="P118" s="72" t="s">
        <v>429</v>
      </c>
      <c r="Q118" s="72" t="s">
        <v>430</v>
      </c>
      <c r="S118" s="72" t="s">
        <v>431</v>
      </c>
      <c r="T118" s="72">
        <v>1</v>
      </c>
      <c r="U118" s="72" t="s">
        <v>432</v>
      </c>
    </row>
    <row r="119" spans="1:21" x14ac:dyDescent="0.3">
      <c r="A119" s="72" t="s">
        <v>281</v>
      </c>
      <c r="B119" s="72" t="s">
        <v>447</v>
      </c>
      <c r="C119" s="72" t="s">
        <v>658</v>
      </c>
      <c r="D119" s="73">
        <v>42768</v>
      </c>
      <c r="F119" s="72">
        <v>5304078.5750000002</v>
      </c>
      <c r="G119" s="72">
        <v>1657842.666</v>
      </c>
      <c r="H119" s="72">
        <v>11.784000000000001</v>
      </c>
      <c r="I119" s="74" t="s">
        <v>11</v>
      </c>
      <c r="J119" s="72">
        <f>SUM(H119-H$114)</f>
        <v>0.25500000000000078</v>
      </c>
      <c r="K119" s="75">
        <v>0.76529999999999998</v>
      </c>
      <c r="L119" s="75">
        <f>SUM(J119:K119)-0.2</f>
        <v>0.8203000000000007</v>
      </c>
      <c r="O119" s="72">
        <v>9</v>
      </c>
      <c r="P119" s="72">
        <v>49</v>
      </c>
      <c r="Q119" s="72">
        <f>SUM(P119/60)+O119</f>
        <v>9.8166666666666664</v>
      </c>
      <c r="R119" s="72" t="s">
        <v>433</v>
      </c>
      <c r="S119" s="72">
        <f>SUM(Q121-Q119)/(Q120-Q119)</f>
        <v>0.65866666666666673</v>
      </c>
      <c r="T119" s="72">
        <f>SUM(S119+1)</f>
        <v>1.6586666666666667</v>
      </c>
      <c r="U119" s="72">
        <f>SUM(T119*PI())</f>
        <v>5.2108550147542703</v>
      </c>
    </row>
    <row r="120" spans="1:21" x14ac:dyDescent="0.3">
      <c r="A120" s="72" t="s">
        <v>284</v>
      </c>
      <c r="B120" s="72" t="s">
        <v>447</v>
      </c>
      <c r="C120" s="72" t="s">
        <v>658</v>
      </c>
      <c r="D120" s="73">
        <v>42768</v>
      </c>
      <c r="F120" s="72">
        <v>5304080.1960000005</v>
      </c>
      <c r="G120" s="72">
        <v>1657844.4410000001</v>
      </c>
      <c r="H120" s="72">
        <v>12.06</v>
      </c>
      <c r="I120" s="74" t="s">
        <v>11</v>
      </c>
      <c r="J120" s="72">
        <f>SUM(H120-H$114)</f>
        <v>0.53100000000000058</v>
      </c>
      <c r="K120" s="75">
        <v>0.76529999999999998</v>
      </c>
      <c r="L120" s="75">
        <f>SUM(J120:K120)-0.2</f>
        <v>1.0963000000000005</v>
      </c>
      <c r="O120" s="72">
        <v>16</v>
      </c>
      <c r="P120" s="72">
        <v>4</v>
      </c>
      <c r="Q120" s="72">
        <f>SUM(P120/60)+O120</f>
        <v>16.066666666666666</v>
      </c>
      <c r="R120" s="72" t="s">
        <v>434</v>
      </c>
    </row>
    <row r="121" spans="1:21" x14ac:dyDescent="0.3">
      <c r="A121" s="72" t="s">
        <v>287</v>
      </c>
      <c r="B121" s="72" t="s">
        <v>447</v>
      </c>
      <c r="C121" s="72" t="s">
        <v>658</v>
      </c>
      <c r="D121" s="73">
        <v>42768</v>
      </c>
      <c r="F121" s="72">
        <v>5304082.8660000004</v>
      </c>
      <c r="G121" s="72">
        <v>1657847.03</v>
      </c>
      <c r="H121" s="72">
        <v>11.936999999999999</v>
      </c>
      <c r="I121" s="74" t="s">
        <v>11</v>
      </c>
      <c r="J121" s="72">
        <f>SUM(H121-H$114)</f>
        <v>0.40799999999999947</v>
      </c>
      <c r="K121" s="75">
        <v>0.76529999999999998</v>
      </c>
      <c r="L121" s="75">
        <f>SUM(J121:K121)-0.2</f>
        <v>0.97329999999999939</v>
      </c>
      <c r="O121" s="72">
        <v>13</v>
      </c>
      <c r="P121" s="72">
        <v>56</v>
      </c>
      <c r="Q121" s="72">
        <f>SUM(P121/60)+O121</f>
        <v>13.933333333333334</v>
      </c>
      <c r="R121" s="72" t="s">
        <v>435</v>
      </c>
    </row>
    <row r="122" spans="1:21" x14ac:dyDescent="0.3">
      <c r="A122" s="72" t="s">
        <v>290</v>
      </c>
      <c r="B122" s="72" t="s">
        <v>447</v>
      </c>
      <c r="C122" s="72" t="s">
        <v>658</v>
      </c>
      <c r="D122" s="73">
        <v>42768</v>
      </c>
      <c r="F122" s="72">
        <v>5304082.7070000004</v>
      </c>
      <c r="G122" s="72">
        <v>1657848.8559999999</v>
      </c>
      <c r="H122" s="72">
        <v>12.029</v>
      </c>
      <c r="I122" s="74" t="s">
        <v>11</v>
      </c>
      <c r="J122" s="72">
        <f>SUM(H122-H$114)</f>
        <v>0.5</v>
      </c>
      <c r="K122" s="75">
        <v>0.76529999999999998</v>
      </c>
      <c r="L122" s="75">
        <f>SUM(J122:K122)-0.2</f>
        <v>1.0652999999999999</v>
      </c>
    </row>
    <row r="123" spans="1:21" x14ac:dyDescent="0.3">
      <c r="A123" s="72" t="s">
        <v>293</v>
      </c>
      <c r="B123" s="72" t="s">
        <v>447</v>
      </c>
      <c r="C123" s="72" t="s">
        <v>658</v>
      </c>
      <c r="D123" s="73">
        <v>42768</v>
      </c>
      <c r="F123" s="72">
        <v>5304087.1100000003</v>
      </c>
      <c r="G123" s="72">
        <v>1657850.746</v>
      </c>
      <c r="H123" s="72">
        <v>11.989000000000001</v>
      </c>
      <c r="I123" s="74" t="s">
        <v>11</v>
      </c>
      <c r="J123" s="72">
        <f>SUM(H123-H$114)</f>
        <v>0.46000000000000085</v>
      </c>
      <c r="K123" s="75">
        <v>0.76529999999999998</v>
      </c>
      <c r="L123" s="75">
        <f>SUM(J123:K123)-0.2</f>
        <v>1.0253000000000008</v>
      </c>
    </row>
    <row r="124" spans="1:21" x14ac:dyDescent="0.3">
      <c r="A124" s="72" t="s">
        <v>296</v>
      </c>
      <c r="B124" s="72" t="s">
        <v>447</v>
      </c>
      <c r="C124" s="72" t="s">
        <v>658</v>
      </c>
      <c r="D124" s="73">
        <v>42768</v>
      </c>
      <c r="F124" s="72">
        <v>5304085.9479999999</v>
      </c>
      <c r="G124" s="72">
        <v>1657853.165</v>
      </c>
      <c r="H124" s="72">
        <v>12.098000000000001</v>
      </c>
      <c r="I124" s="74" t="s">
        <v>11</v>
      </c>
      <c r="J124" s="72">
        <f>SUM(H124-H$114)</f>
        <v>0.56900000000000084</v>
      </c>
      <c r="K124" s="75">
        <v>0.76529999999999998</v>
      </c>
      <c r="L124" s="75">
        <f>SUM(J124:K124)-0.2</f>
        <v>1.1343000000000008</v>
      </c>
    </row>
    <row r="125" spans="1:21" x14ac:dyDescent="0.3">
      <c r="A125" s="72" t="s">
        <v>299</v>
      </c>
      <c r="B125" s="72" t="s">
        <v>447</v>
      </c>
      <c r="C125" s="72" t="s">
        <v>658</v>
      </c>
      <c r="D125" s="73">
        <v>42768</v>
      </c>
      <c r="F125" s="72">
        <v>5304084.9460000005</v>
      </c>
      <c r="G125" s="72">
        <v>1657852.524</v>
      </c>
      <c r="H125" s="72">
        <v>12.087999999999999</v>
      </c>
      <c r="I125" s="74" t="s">
        <v>11</v>
      </c>
      <c r="J125" s="72">
        <f>SUM(H125-H$114)</f>
        <v>0.55899999999999928</v>
      </c>
      <c r="K125" s="75">
        <v>0.76529999999999998</v>
      </c>
      <c r="L125" s="75">
        <f>SUM(J125:K125)-0.2</f>
        <v>1.1242999999999992</v>
      </c>
    </row>
    <row r="126" spans="1:21" x14ac:dyDescent="0.3">
      <c r="A126" s="72" t="s">
        <v>302</v>
      </c>
      <c r="B126" s="72" t="s">
        <v>447</v>
      </c>
      <c r="C126" s="72" t="s">
        <v>658</v>
      </c>
      <c r="D126" s="73">
        <v>42768</v>
      </c>
      <c r="F126" s="72">
        <v>5304088.2209999999</v>
      </c>
      <c r="G126" s="72">
        <v>1657856.551</v>
      </c>
      <c r="H126" s="72">
        <v>12.198</v>
      </c>
      <c r="I126" s="74" t="s">
        <v>11</v>
      </c>
      <c r="J126" s="72">
        <f>SUM(H126-H$114)</f>
        <v>0.66900000000000048</v>
      </c>
      <c r="K126" s="75">
        <v>0.76529999999999998</v>
      </c>
      <c r="L126" s="75">
        <f>SUM(J126:K126)-0.2</f>
        <v>1.2343000000000004</v>
      </c>
      <c r="O126" s="72" t="s">
        <v>436</v>
      </c>
      <c r="P126" s="72" t="s">
        <v>437</v>
      </c>
      <c r="Q126" s="71" t="s">
        <v>438</v>
      </c>
      <c r="S126" s="11" t="s">
        <v>680</v>
      </c>
    </row>
    <row r="127" spans="1:21" ht="15.6" x14ac:dyDescent="0.35">
      <c r="A127" s="72" t="s">
        <v>305</v>
      </c>
      <c r="B127" s="72" t="s">
        <v>447</v>
      </c>
      <c r="C127" s="72" t="s">
        <v>658</v>
      </c>
      <c r="D127" s="73">
        <v>42768</v>
      </c>
      <c r="F127" s="72">
        <v>5304088.6370000001</v>
      </c>
      <c r="G127" s="72">
        <v>1657857.3859999999</v>
      </c>
      <c r="H127" s="72">
        <v>12.129</v>
      </c>
      <c r="I127" s="74" t="s">
        <v>11</v>
      </c>
      <c r="J127" s="72">
        <f>SUM(H127-H$114)</f>
        <v>0.59999999999999964</v>
      </c>
      <c r="K127" s="75">
        <v>0.76529999999999998</v>
      </c>
      <c r="L127" s="75">
        <f>SUM(J127:K127)-0.2</f>
        <v>1.1652999999999996</v>
      </c>
      <c r="O127" s="72">
        <v>1.8</v>
      </c>
      <c r="P127" s="72">
        <v>0.4</v>
      </c>
      <c r="Q127" s="76">
        <f>SUM(O127+(P127-O127)*((COS(U119)+1)/2))</f>
        <v>0.76534484448826556</v>
      </c>
      <c r="S127" s="69" t="s">
        <v>683</v>
      </c>
    </row>
    <row r="128" spans="1:21" x14ac:dyDescent="0.3">
      <c r="A128" s="72" t="s">
        <v>308</v>
      </c>
      <c r="B128" s="72" t="s">
        <v>447</v>
      </c>
      <c r="C128" s="72" t="s">
        <v>658</v>
      </c>
      <c r="D128" s="73">
        <v>42768</v>
      </c>
      <c r="F128" s="72">
        <v>5304089.43</v>
      </c>
      <c r="G128" s="72">
        <v>1657857.129</v>
      </c>
      <c r="H128" s="72">
        <v>12.132</v>
      </c>
      <c r="I128" s="74" t="s">
        <v>11</v>
      </c>
      <c r="J128" s="72">
        <f>SUM(H128-H$114)</f>
        <v>0.60299999999999976</v>
      </c>
      <c r="K128" s="75">
        <v>0.76529999999999998</v>
      </c>
      <c r="L128" s="75">
        <f>SUM(J128:K128)-0.2</f>
        <v>1.1682999999999997</v>
      </c>
    </row>
    <row r="129" spans="1:21" x14ac:dyDescent="0.3">
      <c r="A129" s="72" t="s">
        <v>311</v>
      </c>
      <c r="B129" s="72" t="s">
        <v>447</v>
      </c>
      <c r="C129" s="72" t="s">
        <v>658</v>
      </c>
      <c r="D129" s="73">
        <v>42768</v>
      </c>
      <c r="F129" s="72">
        <v>5304090.7130000005</v>
      </c>
      <c r="G129" s="72">
        <v>1657855.987</v>
      </c>
      <c r="H129" s="72">
        <v>11.999000000000001</v>
      </c>
      <c r="I129" s="74" t="s">
        <v>11</v>
      </c>
      <c r="J129" s="72">
        <f>SUM(H129-H$114)</f>
        <v>0.47000000000000064</v>
      </c>
      <c r="K129" s="75">
        <v>0.76529999999999998</v>
      </c>
      <c r="L129" s="75">
        <f>SUM(J129:K129)-0.2</f>
        <v>1.0353000000000006</v>
      </c>
    </row>
    <row r="130" spans="1:21" x14ac:dyDescent="0.3">
      <c r="A130" s="72" t="s">
        <v>314</v>
      </c>
      <c r="B130" s="72" t="s">
        <v>447</v>
      </c>
      <c r="C130" s="72" t="s">
        <v>658</v>
      </c>
      <c r="D130" s="73">
        <v>42768</v>
      </c>
      <c r="F130" s="72">
        <v>5304093.5959999999</v>
      </c>
      <c r="G130" s="72">
        <v>1657856.6510000001</v>
      </c>
      <c r="H130" s="72">
        <v>11.952</v>
      </c>
      <c r="I130" s="74" t="s">
        <v>11</v>
      </c>
      <c r="J130" s="72">
        <f>SUM(H130-H$114)</f>
        <v>0.42300000000000004</v>
      </c>
      <c r="K130" s="75">
        <v>0.76529999999999998</v>
      </c>
      <c r="L130" s="75">
        <f>SUM(J130:K130)-0.2</f>
        <v>0.98829999999999996</v>
      </c>
    </row>
    <row r="131" spans="1:21" x14ac:dyDescent="0.3">
      <c r="A131" s="72" t="s">
        <v>317</v>
      </c>
      <c r="B131" s="72" t="s">
        <v>447</v>
      </c>
      <c r="C131" s="72" t="s">
        <v>658</v>
      </c>
      <c r="D131" s="73">
        <v>42768</v>
      </c>
      <c r="F131" s="72">
        <v>5304093.6040000003</v>
      </c>
      <c r="G131" s="72">
        <v>1657861.4709999999</v>
      </c>
      <c r="H131" s="72">
        <v>12.026</v>
      </c>
      <c r="I131" s="74" t="s">
        <v>11</v>
      </c>
      <c r="J131" s="72">
        <f>SUM(H131-H$114)</f>
        <v>0.49699999999999989</v>
      </c>
      <c r="K131" s="75">
        <v>0.76529999999999998</v>
      </c>
      <c r="L131" s="75">
        <f>SUM(J131:K131)-0.2</f>
        <v>1.0622999999999998</v>
      </c>
    </row>
    <row r="132" spans="1:21" x14ac:dyDescent="0.3">
      <c r="A132" s="72" t="s">
        <v>320</v>
      </c>
      <c r="B132" s="72" t="s">
        <v>447</v>
      </c>
      <c r="C132" s="72" t="s">
        <v>658</v>
      </c>
      <c r="D132" s="73">
        <v>42768</v>
      </c>
      <c r="F132" s="72">
        <v>5304103.7649999997</v>
      </c>
      <c r="G132" s="72">
        <v>1657859.956</v>
      </c>
      <c r="H132" s="72">
        <v>11.891</v>
      </c>
      <c r="I132" s="74" t="s">
        <v>11</v>
      </c>
      <c r="J132" s="72">
        <f>SUM(H132-H$114)</f>
        <v>0.3620000000000001</v>
      </c>
      <c r="K132" s="75">
        <v>0.76529999999999998</v>
      </c>
      <c r="L132" s="75">
        <f>SUM(J132:K132)-0.2</f>
        <v>0.92730000000000001</v>
      </c>
    </row>
    <row r="133" spans="1:21" x14ac:dyDescent="0.3">
      <c r="A133" s="72" t="s">
        <v>323</v>
      </c>
      <c r="B133" s="72" t="s">
        <v>447</v>
      </c>
      <c r="C133" s="72" t="s">
        <v>658</v>
      </c>
      <c r="D133" s="73">
        <v>42768</v>
      </c>
      <c r="F133" s="72">
        <v>5304102.5080000004</v>
      </c>
      <c r="G133" s="72">
        <v>1657860.801</v>
      </c>
      <c r="H133" s="72">
        <v>11.914999999999999</v>
      </c>
      <c r="I133" s="74" t="s">
        <v>11</v>
      </c>
      <c r="J133" s="72">
        <f>SUM(H133-H$114)</f>
        <v>0.38599999999999923</v>
      </c>
      <c r="K133" s="75">
        <v>0.76529999999999998</v>
      </c>
      <c r="L133" s="75">
        <f>SUM(J133:K133)-0.2</f>
        <v>0.95129999999999915</v>
      </c>
    </row>
    <row r="135" spans="1:21" x14ac:dyDescent="0.3">
      <c r="A135" s="72" t="s">
        <v>448</v>
      </c>
      <c r="B135" s="72" t="s">
        <v>202</v>
      </c>
      <c r="C135" s="72" t="s">
        <v>659</v>
      </c>
      <c r="D135" s="73">
        <v>42774</v>
      </c>
      <c r="E135" s="72">
        <v>2000</v>
      </c>
      <c r="F135" s="72">
        <v>5304094.5559999999</v>
      </c>
      <c r="G135" s="72">
        <v>1657795.3049999999</v>
      </c>
      <c r="H135" s="72">
        <v>11.090999999999999</v>
      </c>
      <c r="I135" s="72" t="s">
        <v>427</v>
      </c>
    </row>
    <row r="136" spans="1:21" x14ac:dyDescent="0.3">
      <c r="A136" s="72" t="s">
        <v>332</v>
      </c>
      <c r="B136" s="72" t="s">
        <v>202</v>
      </c>
      <c r="C136" s="72" t="s">
        <v>659</v>
      </c>
      <c r="D136" s="73">
        <v>42774</v>
      </c>
      <c r="F136" s="72">
        <v>5304094.5559999999</v>
      </c>
      <c r="G136" s="72">
        <v>1657795.3049999999</v>
      </c>
      <c r="H136" s="72">
        <v>12.298</v>
      </c>
      <c r="I136" s="74" t="s">
        <v>13</v>
      </c>
      <c r="J136" s="72">
        <f>SUM(H136-H$135)</f>
        <v>1.2070000000000007</v>
      </c>
      <c r="K136" s="75">
        <v>0.4955</v>
      </c>
      <c r="L136" s="75">
        <f>SUM(J136:K136)-0.4</f>
        <v>1.3025000000000007</v>
      </c>
      <c r="M136" s="72">
        <v>0.4</v>
      </c>
      <c r="N136" s="75">
        <f>AVERAGE(L136:L167)</f>
        <v>1.2357187500000004</v>
      </c>
      <c r="O136" s="75">
        <f>STDEVA(L136:L167)</f>
        <v>7.331405462009799E-2</v>
      </c>
    </row>
    <row r="137" spans="1:21" x14ac:dyDescent="0.3">
      <c r="A137" s="72" t="s">
        <v>335</v>
      </c>
      <c r="B137" s="72" t="s">
        <v>202</v>
      </c>
      <c r="C137" s="72" t="s">
        <v>659</v>
      </c>
      <c r="D137" s="73">
        <v>42774</v>
      </c>
      <c r="F137" s="72">
        <v>5304092.5410000002</v>
      </c>
      <c r="G137" s="72">
        <v>1657796.2849999999</v>
      </c>
      <c r="H137" s="72">
        <v>12.194000000000001</v>
      </c>
      <c r="I137" s="74" t="s">
        <v>13</v>
      </c>
      <c r="J137" s="72">
        <f>SUM(H137-H$135)</f>
        <v>1.1030000000000015</v>
      </c>
      <c r="K137" s="75">
        <v>0.4955</v>
      </c>
      <c r="L137" s="75">
        <f>SUM(J137:K137)-0.4</f>
        <v>1.1985000000000015</v>
      </c>
    </row>
    <row r="138" spans="1:21" x14ac:dyDescent="0.3">
      <c r="A138" s="72" t="s">
        <v>338</v>
      </c>
      <c r="B138" s="72" t="s">
        <v>202</v>
      </c>
      <c r="C138" s="72" t="s">
        <v>659</v>
      </c>
      <c r="D138" s="73">
        <v>42774</v>
      </c>
      <c r="F138" s="72">
        <v>5304092.1140000001</v>
      </c>
      <c r="G138" s="72">
        <v>1657798.1939999999</v>
      </c>
      <c r="H138" s="72">
        <v>12.035</v>
      </c>
      <c r="I138" s="74" t="s">
        <v>13</v>
      </c>
      <c r="J138" s="72">
        <f>SUM(H138-H$135)</f>
        <v>0.94400000000000084</v>
      </c>
      <c r="K138" s="75">
        <v>0.4955</v>
      </c>
      <c r="L138" s="75">
        <f>SUM(J138:K138)-0.4</f>
        <v>1.0395000000000008</v>
      </c>
    </row>
    <row r="139" spans="1:21" x14ac:dyDescent="0.3">
      <c r="A139" s="72" t="s">
        <v>341</v>
      </c>
      <c r="B139" s="72" t="s">
        <v>202</v>
      </c>
      <c r="C139" s="72" t="s">
        <v>659</v>
      </c>
      <c r="D139" s="73">
        <v>42774</v>
      </c>
      <c r="F139" s="72">
        <v>5304092.4239999996</v>
      </c>
      <c r="G139" s="72">
        <v>1657800.977</v>
      </c>
      <c r="H139" s="72">
        <v>12.291</v>
      </c>
      <c r="I139" s="74" t="s">
        <v>13</v>
      </c>
      <c r="J139" s="72">
        <f>SUM(H139-H$135)</f>
        <v>1.2000000000000011</v>
      </c>
      <c r="K139" s="75">
        <v>0.4955</v>
      </c>
      <c r="L139" s="75">
        <f>SUM(J139:K139)-0.4</f>
        <v>1.295500000000001</v>
      </c>
      <c r="O139" s="72" t="s">
        <v>428</v>
      </c>
      <c r="P139" s="72" t="s">
        <v>429</v>
      </c>
      <c r="Q139" s="72" t="s">
        <v>430</v>
      </c>
      <c r="S139" s="72" t="s">
        <v>431</v>
      </c>
      <c r="T139" s="72">
        <v>1</v>
      </c>
      <c r="U139" s="72" t="s">
        <v>432</v>
      </c>
    </row>
    <row r="140" spans="1:21" x14ac:dyDescent="0.3">
      <c r="A140" s="72" t="s">
        <v>344</v>
      </c>
      <c r="B140" s="72" t="s">
        <v>202</v>
      </c>
      <c r="C140" s="72" t="s">
        <v>659</v>
      </c>
      <c r="D140" s="73">
        <v>42774</v>
      </c>
      <c r="F140" s="72">
        <v>5304086.6739999996</v>
      </c>
      <c r="G140" s="72">
        <v>1657795.044</v>
      </c>
      <c r="H140" s="72">
        <v>12.254</v>
      </c>
      <c r="I140" s="74" t="s">
        <v>13</v>
      </c>
      <c r="J140" s="72">
        <f>SUM(H140-H$135)</f>
        <v>1.1630000000000003</v>
      </c>
      <c r="K140" s="75">
        <v>0.4955</v>
      </c>
      <c r="L140" s="75">
        <f>SUM(J140:K140)-0.4</f>
        <v>1.2585000000000002</v>
      </c>
      <c r="O140" s="72">
        <v>15</v>
      </c>
      <c r="P140" s="72">
        <v>17</v>
      </c>
      <c r="Q140" s="72">
        <f>SUM(P140/60)+O140</f>
        <v>15.283333333333333</v>
      </c>
      <c r="R140" s="72" t="s">
        <v>433</v>
      </c>
      <c r="S140" s="72">
        <f>SUM(Q142-Q140)/(Q141-Q140)</f>
        <v>0.76486486486486494</v>
      </c>
      <c r="T140" s="72">
        <f>SUM(S140+1)</f>
        <v>1.7648648648648648</v>
      </c>
      <c r="U140" s="72">
        <f>SUM(T140*PI())</f>
        <v>5.5444864940382024</v>
      </c>
    </row>
    <row r="141" spans="1:21" x14ac:dyDescent="0.3">
      <c r="A141" s="72" t="s">
        <v>347</v>
      </c>
      <c r="B141" s="72" t="s">
        <v>202</v>
      </c>
      <c r="C141" s="72" t="s">
        <v>659</v>
      </c>
      <c r="D141" s="73">
        <v>42774</v>
      </c>
      <c r="F141" s="72">
        <v>5304086.648</v>
      </c>
      <c r="G141" s="72">
        <v>1657795.4350000001</v>
      </c>
      <c r="H141" s="72">
        <v>12.243</v>
      </c>
      <c r="I141" s="74" t="s">
        <v>13</v>
      </c>
      <c r="J141" s="72">
        <f>SUM(H141-H$135)</f>
        <v>1.152000000000001</v>
      </c>
      <c r="K141" s="75">
        <v>0.4955</v>
      </c>
      <c r="L141" s="75">
        <f>SUM(J141:K141)-0.4</f>
        <v>1.2475000000000009</v>
      </c>
      <c r="O141" s="72">
        <v>21</v>
      </c>
      <c r="P141" s="72">
        <v>27</v>
      </c>
      <c r="Q141" s="72">
        <f>SUM(P141/60)+O141</f>
        <v>21.45</v>
      </c>
      <c r="R141" s="72" t="s">
        <v>434</v>
      </c>
    </row>
    <row r="142" spans="1:21" x14ac:dyDescent="0.3">
      <c r="A142" s="72" t="s">
        <v>350</v>
      </c>
      <c r="B142" s="72" t="s">
        <v>202</v>
      </c>
      <c r="C142" s="72" t="s">
        <v>659</v>
      </c>
      <c r="D142" s="73">
        <v>42774</v>
      </c>
      <c r="F142" s="72">
        <v>5304086.6550000003</v>
      </c>
      <c r="G142" s="72">
        <v>1657794.5160000001</v>
      </c>
      <c r="H142" s="72">
        <v>12.305999999999999</v>
      </c>
      <c r="I142" s="74" t="s">
        <v>13</v>
      </c>
      <c r="J142" s="72">
        <f>SUM(H142-H$135)</f>
        <v>1.2149999999999999</v>
      </c>
      <c r="K142" s="75">
        <v>0.4955</v>
      </c>
      <c r="L142" s="75">
        <f>SUM(J142:K142)-0.4</f>
        <v>1.3104999999999998</v>
      </c>
      <c r="O142" s="72">
        <v>20</v>
      </c>
      <c r="P142" s="72">
        <v>0</v>
      </c>
      <c r="Q142" s="72">
        <f>SUM(P142/60)+O142</f>
        <v>20</v>
      </c>
      <c r="R142" s="72" t="s">
        <v>435</v>
      </c>
    </row>
    <row r="143" spans="1:21" x14ac:dyDescent="0.3">
      <c r="A143" s="72" t="s">
        <v>352</v>
      </c>
      <c r="B143" s="72" t="s">
        <v>202</v>
      </c>
      <c r="C143" s="72" t="s">
        <v>659</v>
      </c>
      <c r="D143" s="73">
        <v>42774</v>
      </c>
      <c r="F143" s="72">
        <v>5304087.6330000004</v>
      </c>
      <c r="G143" s="72">
        <v>1657795.21</v>
      </c>
      <c r="H143" s="72">
        <v>12.167</v>
      </c>
      <c r="I143" s="74" t="s">
        <v>13</v>
      </c>
      <c r="J143" s="72">
        <f>SUM(H143-H$135)</f>
        <v>1.0760000000000005</v>
      </c>
      <c r="K143" s="75">
        <v>0.4955</v>
      </c>
      <c r="L143" s="75">
        <f>SUM(J143:K143)-0.4</f>
        <v>1.1715000000000004</v>
      </c>
    </row>
    <row r="144" spans="1:21" x14ac:dyDescent="0.3">
      <c r="A144" s="72" t="s">
        <v>355</v>
      </c>
      <c r="B144" s="72" t="s">
        <v>202</v>
      </c>
      <c r="C144" s="72" t="s">
        <v>659</v>
      </c>
      <c r="D144" s="73">
        <v>42774</v>
      </c>
      <c r="F144" s="72">
        <v>5304088.0619999999</v>
      </c>
      <c r="G144" s="72">
        <v>1657794.683</v>
      </c>
      <c r="H144" s="72">
        <v>12.24</v>
      </c>
      <c r="I144" s="74" t="s">
        <v>13</v>
      </c>
      <c r="J144" s="72">
        <f>SUM(H144-H$135)</f>
        <v>1.1490000000000009</v>
      </c>
      <c r="K144" s="75">
        <v>0.4955</v>
      </c>
      <c r="L144" s="75">
        <f>SUM(J144:K144)-0.4</f>
        <v>1.2445000000000008</v>
      </c>
    </row>
    <row r="145" spans="1:19" x14ac:dyDescent="0.3">
      <c r="A145" s="72" t="s">
        <v>358</v>
      </c>
      <c r="B145" s="72" t="s">
        <v>202</v>
      </c>
      <c r="C145" s="72" t="s">
        <v>659</v>
      </c>
      <c r="D145" s="73">
        <v>42774</v>
      </c>
      <c r="F145" s="72">
        <v>5304088.2860000003</v>
      </c>
      <c r="G145" s="72">
        <v>1657792.825</v>
      </c>
      <c r="H145" s="72">
        <v>12.208</v>
      </c>
      <c r="I145" s="74" t="s">
        <v>13</v>
      </c>
      <c r="J145" s="72">
        <f>SUM(H145-H$135)</f>
        <v>1.1170000000000009</v>
      </c>
      <c r="K145" s="75">
        <v>0.4955</v>
      </c>
      <c r="L145" s="75">
        <f>SUM(J145:K145)-0.4</f>
        <v>1.2125000000000008</v>
      </c>
    </row>
    <row r="146" spans="1:19" x14ac:dyDescent="0.3">
      <c r="A146" s="72" t="s">
        <v>361</v>
      </c>
      <c r="B146" s="72" t="s">
        <v>202</v>
      </c>
      <c r="C146" s="72" t="s">
        <v>659</v>
      </c>
      <c r="D146" s="73">
        <v>42774</v>
      </c>
      <c r="F146" s="72">
        <v>5304088.4929999998</v>
      </c>
      <c r="G146" s="72">
        <v>1657792.645</v>
      </c>
      <c r="H146" s="72">
        <v>12.207000000000001</v>
      </c>
      <c r="I146" s="74" t="s">
        <v>13</v>
      </c>
      <c r="J146" s="72">
        <f>SUM(H146-H$135)</f>
        <v>1.1160000000000014</v>
      </c>
      <c r="K146" s="75">
        <v>0.4955</v>
      </c>
      <c r="L146" s="75">
        <f>SUM(J146:K146)-0.4</f>
        <v>1.2115000000000014</v>
      </c>
    </row>
    <row r="147" spans="1:19" x14ac:dyDescent="0.3">
      <c r="A147" s="72" t="s">
        <v>364</v>
      </c>
      <c r="B147" s="72" t="s">
        <v>202</v>
      </c>
      <c r="C147" s="72" t="s">
        <v>659</v>
      </c>
      <c r="D147" s="73">
        <v>42774</v>
      </c>
      <c r="F147" s="72">
        <v>5304098.62</v>
      </c>
      <c r="G147" s="72">
        <v>1657797.4809999999</v>
      </c>
      <c r="H147" s="72">
        <v>12.039</v>
      </c>
      <c r="I147" s="74" t="s">
        <v>13</v>
      </c>
      <c r="J147" s="72">
        <f>SUM(H147-H$135)</f>
        <v>0.9480000000000004</v>
      </c>
      <c r="K147" s="75">
        <v>0.4955</v>
      </c>
      <c r="L147" s="75">
        <f>SUM(J147:K147)-0.4</f>
        <v>1.0435000000000003</v>
      </c>
      <c r="O147" s="72" t="s">
        <v>436</v>
      </c>
      <c r="P147" s="72" t="s">
        <v>437</v>
      </c>
      <c r="Q147" s="71" t="s">
        <v>438</v>
      </c>
      <c r="S147" s="11" t="s">
        <v>680</v>
      </c>
    </row>
    <row r="148" spans="1:19" ht="15.6" x14ac:dyDescent="0.35">
      <c r="A148" s="72" t="s">
        <v>367</v>
      </c>
      <c r="B148" s="72" t="s">
        <v>202</v>
      </c>
      <c r="C148" s="72" t="s">
        <v>659</v>
      </c>
      <c r="D148" s="73">
        <v>42774</v>
      </c>
      <c r="F148" s="72">
        <v>5304098.2309999997</v>
      </c>
      <c r="G148" s="72">
        <v>1657798.0390000001</v>
      </c>
      <c r="H148" s="72">
        <v>12.254</v>
      </c>
      <c r="I148" s="74" t="s">
        <v>13</v>
      </c>
      <c r="J148" s="72">
        <f>SUM(H148-H$135)</f>
        <v>1.1630000000000003</v>
      </c>
      <c r="K148" s="75">
        <v>0.4955</v>
      </c>
      <c r="L148" s="75">
        <f>SUM(J148:K148)-0.4</f>
        <v>1.2585000000000002</v>
      </c>
      <c r="O148" s="72">
        <v>1.8</v>
      </c>
      <c r="P148" s="72">
        <v>0.3</v>
      </c>
      <c r="Q148" s="76">
        <f>SUM(O148+(P148-O148)*((COS(U140)+1)/2))</f>
        <v>0.49549101907066206</v>
      </c>
      <c r="S148" s="69" t="s">
        <v>683</v>
      </c>
    </row>
    <row r="149" spans="1:19" x14ac:dyDescent="0.3">
      <c r="A149" s="72" t="s">
        <v>370</v>
      </c>
      <c r="B149" s="72" t="s">
        <v>202</v>
      </c>
      <c r="C149" s="72" t="s">
        <v>659</v>
      </c>
      <c r="D149" s="73">
        <v>42774</v>
      </c>
      <c r="F149" s="72">
        <v>5304097.9510000004</v>
      </c>
      <c r="G149" s="72">
        <v>1657798.11</v>
      </c>
      <c r="H149" s="72">
        <v>12.218999999999999</v>
      </c>
      <c r="I149" s="74" t="s">
        <v>13</v>
      </c>
      <c r="J149" s="72">
        <f>SUM(H149-H$135)</f>
        <v>1.1280000000000001</v>
      </c>
      <c r="K149" s="75">
        <v>0.4955</v>
      </c>
      <c r="L149" s="75">
        <f>SUM(J149:K149)-0.4</f>
        <v>1.2235</v>
      </c>
    </row>
    <row r="150" spans="1:19" x14ac:dyDescent="0.3">
      <c r="A150" s="72" t="s">
        <v>373</v>
      </c>
      <c r="B150" s="72" t="s">
        <v>202</v>
      </c>
      <c r="C150" s="72" t="s">
        <v>659</v>
      </c>
      <c r="D150" s="73">
        <v>42774</v>
      </c>
      <c r="F150" s="72">
        <v>5304115.585</v>
      </c>
      <c r="G150" s="72">
        <v>1657837.68</v>
      </c>
      <c r="H150" s="72">
        <v>12.317</v>
      </c>
      <c r="I150" s="74" t="s">
        <v>13</v>
      </c>
      <c r="J150" s="72">
        <f>SUM(H150-H$135)</f>
        <v>1.2260000000000009</v>
      </c>
      <c r="K150" s="75">
        <v>0.4955</v>
      </c>
      <c r="L150" s="75">
        <f>SUM(J150:K150)-0.4</f>
        <v>1.3215000000000008</v>
      </c>
    </row>
    <row r="151" spans="1:19" x14ac:dyDescent="0.3">
      <c r="A151" s="72" t="s">
        <v>376</v>
      </c>
      <c r="B151" s="72" t="s">
        <v>202</v>
      </c>
      <c r="C151" s="72" t="s">
        <v>659</v>
      </c>
      <c r="D151" s="73">
        <v>42774</v>
      </c>
      <c r="F151" s="72">
        <v>5304114.7910000002</v>
      </c>
      <c r="G151" s="72">
        <v>1657837.0989999999</v>
      </c>
      <c r="H151" s="72">
        <v>12.298999999999999</v>
      </c>
      <c r="I151" s="74" t="s">
        <v>13</v>
      </c>
      <c r="J151" s="72">
        <f>SUM(H151-H$135)</f>
        <v>1.2080000000000002</v>
      </c>
      <c r="K151" s="75">
        <v>0.4955</v>
      </c>
      <c r="L151" s="75">
        <f>SUM(J151:K151)-0.4</f>
        <v>1.3035000000000001</v>
      </c>
    </row>
    <row r="152" spans="1:19" x14ac:dyDescent="0.3">
      <c r="A152" s="72" t="s">
        <v>379</v>
      </c>
      <c r="B152" s="72" t="s">
        <v>202</v>
      </c>
      <c r="C152" s="72" t="s">
        <v>659</v>
      </c>
      <c r="D152" s="73">
        <v>42774</v>
      </c>
      <c r="F152" s="72">
        <v>5304114.0449999999</v>
      </c>
      <c r="G152" s="72">
        <v>1657838.3130000001</v>
      </c>
      <c r="H152" s="72">
        <v>12.254</v>
      </c>
      <c r="I152" s="74" t="s">
        <v>13</v>
      </c>
      <c r="J152" s="72">
        <f>SUM(H152-H$135)</f>
        <v>1.1630000000000003</v>
      </c>
      <c r="K152" s="75">
        <v>0.4955</v>
      </c>
      <c r="L152" s="75">
        <f>SUM(J152:K152)-0.4</f>
        <v>1.2585000000000002</v>
      </c>
    </row>
    <row r="153" spans="1:19" x14ac:dyDescent="0.3">
      <c r="A153" s="72" t="s">
        <v>382</v>
      </c>
      <c r="B153" s="72" t="s">
        <v>202</v>
      </c>
      <c r="C153" s="72" t="s">
        <v>659</v>
      </c>
      <c r="D153" s="73">
        <v>42774</v>
      </c>
      <c r="F153" s="72">
        <v>5304113.6550000003</v>
      </c>
      <c r="G153" s="72">
        <v>1657839.581</v>
      </c>
      <c r="H153" s="72">
        <v>12.292</v>
      </c>
      <c r="I153" s="74" t="s">
        <v>13</v>
      </c>
      <c r="J153" s="72">
        <f>SUM(H153-H$135)</f>
        <v>1.2010000000000005</v>
      </c>
      <c r="K153" s="75">
        <v>0.4955</v>
      </c>
      <c r="L153" s="75">
        <f>SUM(J153:K153)-0.4</f>
        <v>1.2965000000000004</v>
      </c>
    </row>
    <row r="154" spans="1:19" x14ac:dyDescent="0.3">
      <c r="A154" s="72" t="s">
        <v>385</v>
      </c>
      <c r="B154" s="72" t="s">
        <v>202</v>
      </c>
      <c r="C154" s="72" t="s">
        <v>659</v>
      </c>
      <c r="D154" s="73">
        <v>42774</v>
      </c>
      <c r="F154" s="72">
        <v>5304113.6890000002</v>
      </c>
      <c r="G154" s="72">
        <v>1657841.3359999999</v>
      </c>
      <c r="H154" s="72">
        <v>12.266</v>
      </c>
      <c r="I154" s="74" t="s">
        <v>13</v>
      </c>
      <c r="J154" s="72">
        <f>SUM(H154-H$135)</f>
        <v>1.1750000000000007</v>
      </c>
      <c r="K154" s="75">
        <v>0.4955</v>
      </c>
      <c r="L154" s="75">
        <f>SUM(J154:K154)-0.4</f>
        <v>1.2705000000000006</v>
      </c>
    </row>
    <row r="155" spans="1:19" x14ac:dyDescent="0.3">
      <c r="A155" s="72" t="s">
        <v>388</v>
      </c>
      <c r="B155" s="72" t="s">
        <v>202</v>
      </c>
      <c r="C155" s="72" t="s">
        <v>659</v>
      </c>
      <c r="D155" s="73">
        <v>42774</v>
      </c>
      <c r="F155" s="72">
        <v>5304111.4879999999</v>
      </c>
      <c r="G155" s="72">
        <v>1657843.3640000001</v>
      </c>
      <c r="H155" s="72">
        <v>12.241</v>
      </c>
      <c r="I155" s="74" t="s">
        <v>13</v>
      </c>
      <c r="J155" s="72">
        <f>SUM(H155-H$135)</f>
        <v>1.1500000000000004</v>
      </c>
      <c r="K155" s="75">
        <v>0.4955</v>
      </c>
      <c r="L155" s="75">
        <f>SUM(J155:K155)-0.4</f>
        <v>1.2455000000000003</v>
      </c>
    </row>
    <row r="156" spans="1:19" x14ac:dyDescent="0.3">
      <c r="A156" s="72" t="s">
        <v>391</v>
      </c>
      <c r="B156" s="72" t="s">
        <v>202</v>
      </c>
      <c r="C156" s="72" t="s">
        <v>659</v>
      </c>
      <c r="D156" s="73">
        <v>42774</v>
      </c>
      <c r="F156" s="72">
        <v>5304111.1330000004</v>
      </c>
      <c r="G156" s="72">
        <v>1657845.2609999999</v>
      </c>
      <c r="H156" s="72">
        <v>12.247999999999999</v>
      </c>
      <c r="I156" s="74" t="s">
        <v>13</v>
      </c>
      <c r="J156" s="72">
        <f>SUM(H156-H$135)</f>
        <v>1.157</v>
      </c>
      <c r="K156" s="75">
        <v>0.4955</v>
      </c>
      <c r="L156" s="75">
        <f>SUM(J156:K156)-0.4</f>
        <v>1.2524999999999999</v>
      </c>
    </row>
    <row r="157" spans="1:19" x14ac:dyDescent="0.3">
      <c r="A157" s="72" t="s">
        <v>394</v>
      </c>
      <c r="B157" s="72" t="s">
        <v>202</v>
      </c>
      <c r="C157" s="72" t="s">
        <v>659</v>
      </c>
      <c r="D157" s="73">
        <v>42774</v>
      </c>
      <c r="F157" s="72">
        <v>5304114.0539999995</v>
      </c>
      <c r="G157" s="72">
        <v>1657845.14</v>
      </c>
      <c r="H157" s="72">
        <v>12.205</v>
      </c>
      <c r="I157" s="74" t="s">
        <v>13</v>
      </c>
      <c r="J157" s="72">
        <f>SUM(H157-H$135)</f>
        <v>1.1140000000000008</v>
      </c>
      <c r="K157" s="75">
        <v>0.4955</v>
      </c>
      <c r="L157" s="75">
        <f>SUM(J157:K157)-0.4</f>
        <v>1.2095000000000007</v>
      </c>
    </row>
    <row r="158" spans="1:19" x14ac:dyDescent="0.3">
      <c r="A158" s="72" t="s">
        <v>397</v>
      </c>
      <c r="B158" s="72" t="s">
        <v>202</v>
      </c>
      <c r="C158" s="72" t="s">
        <v>659</v>
      </c>
      <c r="D158" s="73">
        <v>42774</v>
      </c>
      <c r="F158" s="72">
        <v>5304120.57</v>
      </c>
      <c r="G158" s="72">
        <v>1657856.33</v>
      </c>
      <c r="H158" s="72">
        <v>12.27</v>
      </c>
      <c r="I158" s="74" t="s">
        <v>13</v>
      </c>
      <c r="J158" s="72">
        <f>SUM(H158-H$135)</f>
        <v>1.1790000000000003</v>
      </c>
      <c r="K158" s="75">
        <v>0.4955</v>
      </c>
      <c r="L158" s="75">
        <f>SUM(J158:K158)-0.4</f>
        <v>1.2745000000000002</v>
      </c>
    </row>
    <row r="159" spans="1:19" x14ac:dyDescent="0.3">
      <c r="A159" s="72" t="s">
        <v>400</v>
      </c>
      <c r="B159" s="72" t="s">
        <v>202</v>
      </c>
      <c r="C159" s="72" t="s">
        <v>659</v>
      </c>
      <c r="D159" s="73">
        <v>42774</v>
      </c>
      <c r="F159" s="72">
        <v>5304123.227</v>
      </c>
      <c r="G159" s="72">
        <v>1657859.2930000001</v>
      </c>
      <c r="H159" s="72">
        <v>12.212</v>
      </c>
      <c r="I159" s="74" t="s">
        <v>13</v>
      </c>
      <c r="J159" s="72">
        <f>SUM(H159-H$135)</f>
        <v>1.1210000000000004</v>
      </c>
      <c r="K159" s="75">
        <v>0.4955</v>
      </c>
      <c r="L159" s="75">
        <f>SUM(J159:K159)-0.4</f>
        <v>1.2165000000000004</v>
      </c>
    </row>
    <row r="160" spans="1:19" x14ac:dyDescent="0.3">
      <c r="A160" s="72" t="s">
        <v>403</v>
      </c>
      <c r="B160" s="72" t="s">
        <v>202</v>
      </c>
      <c r="C160" s="72" t="s">
        <v>659</v>
      </c>
      <c r="D160" s="73">
        <v>42774</v>
      </c>
      <c r="F160" s="72">
        <v>5304123.3899999997</v>
      </c>
      <c r="G160" s="72">
        <v>1657860.017</v>
      </c>
      <c r="H160" s="72">
        <v>12.228999999999999</v>
      </c>
      <c r="I160" s="74" t="s">
        <v>13</v>
      </c>
      <c r="J160" s="72">
        <f>SUM(H160-H$135)</f>
        <v>1.1379999999999999</v>
      </c>
      <c r="K160" s="75">
        <v>0.4955</v>
      </c>
      <c r="L160" s="75">
        <f>SUM(J160:K160)-0.4</f>
        <v>1.2334999999999998</v>
      </c>
    </row>
    <row r="161" spans="1:21" x14ac:dyDescent="0.3">
      <c r="A161" s="72" t="s">
        <v>406</v>
      </c>
      <c r="B161" s="72" t="s">
        <v>202</v>
      </c>
      <c r="C161" s="72" t="s">
        <v>659</v>
      </c>
      <c r="D161" s="73">
        <v>42774</v>
      </c>
      <c r="F161" s="72">
        <v>5304123.5489999996</v>
      </c>
      <c r="G161" s="72">
        <v>1657856.6969999999</v>
      </c>
      <c r="H161" s="72">
        <v>12.22</v>
      </c>
      <c r="I161" s="74" t="s">
        <v>13</v>
      </c>
      <c r="J161" s="72">
        <f>SUM(H161-H$135)</f>
        <v>1.1290000000000013</v>
      </c>
      <c r="K161" s="75">
        <v>0.4955</v>
      </c>
      <c r="L161" s="75">
        <f>SUM(J161:K161)-0.4</f>
        <v>1.2245000000000013</v>
      </c>
    </row>
    <row r="162" spans="1:21" x14ac:dyDescent="0.3">
      <c r="A162" s="72" t="s">
        <v>409</v>
      </c>
      <c r="B162" s="72" t="s">
        <v>202</v>
      </c>
      <c r="C162" s="72" t="s">
        <v>659</v>
      </c>
      <c r="D162" s="73">
        <v>42774</v>
      </c>
      <c r="F162" s="72">
        <v>5304125.2510000002</v>
      </c>
      <c r="G162" s="72">
        <v>1657856.2819999999</v>
      </c>
      <c r="H162" s="72">
        <v>12.2</v>
      </c>
      <c r="I162" s="74" t="s">
        <v>13</v>
      </c>
      <c r="J162" s="72">
        <f>SUM(H162-H$135)</f>
        <v>1.109</v>
      </c>
      <c r="K162" s="75">
        <v>0.4955</v>
      </c>
      <c r="L162" s="75">
        <f>SUM(J162:K162)-0.4</f>
        <v>1.2044999999999999</v>
      </c>
    </row>
    <row r="163" spans="1:21" x14ac:dyDescent="0.3">
      <c r="A163" s="72" t="s">
        <v>412</v>
      </c>
      <c r="B163" s="72" t="s">
        <v>202</v>
      </c>
      <c r="C163" s="72" t="s">
        <v>659</v>
      </c>
      <c r="D163" s="73">
        <v>42774</v>
      </c>
      <c r="F163" s="72">
        <v>5304125.9050000003</v>
      </c>
      <c r="G163" s="72">
        <v>1657858.1910000001</v>
      </c>
      <c r="H163" s="72">
        <v>12.08</v>
      </c>
      <c r="I163" s="74" t="s">
        <v>13</v>
      </c>
      <c r="J163" s="72">
        <f>SUM(H163-H$135)</f>
        <v>0.98900000000000077</v>
      </c>
      <c r="K163" s="75">
        <v>0.4955</v>
      </c>
      <c r="L163" s="75">
        <f>SUM(J163:K163)-0.4</f>
        <v>1.0845000000000007</v>
      </c>
    </row>
    <row r="164" spans="1:21" x14ac:dyDescent="0.3">
      <c r="A164" s="72" t="s">
        <v>415</v>
      </c>
      <c r="B164" s="72" t="s">
        <v>202</v>
      </c>
      <c r="C164" s="72" t="s">
        <v>659</v>
      </c>
      <c r="D164" s="73">
        <v>42774</v>
      </c>
      <c r="F164" s="72">
        <v>5304127.4550000001</v>
      </c>
      <c r="G164" s="72">
        <v>1657856.9909999999</v>
      </c>
      <c r="H164" s="72">
        <v>12.180999999999999</v>
      </c>
      <c r="I164" s="74" t="s">
        <v>13</v>
      </c>
      <c r="J164" s="72">
        <f>SUM(H164-H$135)</f>
        <v>1.0899999999999999</v>
      </c>
      <c r="K164" s="75">
        <v>0.4955</v>
      </c>
      <c r="L164" s="75">
        <f>SUM(J164:K164)-0.4</f>
        <v>1.1854999999999998</v>
      </c>
    </row>
    <row r="165" spans="1:21" x14ac:dyDescent="0.3">
      <c r="A165" s="72" t="s">
        <v>418</v>
      </c>
      <c r="B165" s="72" t="s">
        <v>202</v>
      </c>
      <c r="C165" s="72" t="s">
        <v>659</v>
      </c>
      <c r="D165" s="73">
        <v>42774</v>
      </c>
      <c r="F165" s="72">
        <v>5304129.6390000004</v>
      </c>
      <c r="G165" s="72">
        <v>1657858.034</v>
      </c>
      <c r="H165" s="72">
        <v>12.259</v>
      </c>
      <c r="I165" s="74" t="s">
        <v>13</v>
      </c>
      <c r="J165" s="72">
        <f>SUM(H165-H$135)</f>
        <v>1.168000000000001</v>
      </c>
      <c r="K165" s="75">
        <v>0.4955</v>
      </c>
      <c r="L165" s="75">
        <f>SUM(J165:K165)-0.4</f>
        <v>1.263500000000001</v>
      </c>
    </row>
    <row r="166" spans="1:21" x14ac:dyDescent="0.3">
      <c r="A166" s="72" t="s">
        <v>421</v>
      </c>
      <c r="B166" s="72" t="s">
        <v>202</v>
      </c>
      <c r="C166" s="72" t="s">
        <v>659</v>
      </c>
      <c r="D166" s="73">
        <v>42774</v>
      </c>
      <c r="F166" s="72">
        <v>5304194.2759999996</v>
      </c>
      <c r="G166" s="72">
        <v>1657918.0090000001</v>
      </c>
      <c r="H166" s="72">
        <v>12.345000000000001</v>
      </c>
      <c r="I166" s="74" t="s">
        <v>13</v>
      </c>
      <c r="J166" s="72">
        <f>SUM(H166-H$135)</f>
        <v>1.2540000000000013</v>
      </c>
      <c r="K166" s="75">
        <v>0.4955</v>
      </c>
      <c r="L166" s="75">
        <f>SUM(J166:K166)-0.4</f>
        <v>1.3495000000000013</v>
      </c>
    </row>
    <row r="167" spans="1:21" x14ac:dyDescent="0.3">
      <c r="A167" s="72" t="s">
        <v>424</v>
      </c>
      <c r="B167" s="72" t="s">
        <v>202</v>
      </c>
      <c r="C167" s="72" t="s">
        <v>659</v>
      </c>
      <c r="D167" s="73">
        <v>42774</v>
      </c>
      <c r="F167" s="72">
        <v>5304195.9009999996</v>
      </c>
      <c r="G167" s="72">
        <v>1657917.287</v>
      </c>
      <c r="H167" s="72">
        <v>12.326000000000001</v>
      </c>
      <c r="I167" s="74" t="s">
        <v>13</v>
      </c>
      <c r="J167" s="72">
        <f>SUM(H167-H$135)</f>
        <v>1.2350000000000012</v>
      </c>
      <c r="K167" s="75">
        <v>0.4955</v>
      </c>
      <c r="L167" s="75">
        <f>SUM(J167:K167)-0.4</f>
        <v>1.3305000000000011</v>
      </c>
    </row>
    <row r="169" spans="1:21" x14ac:dyDescent="0.3">
      <c r="A169" s="72" t="s">
        <v>647</v>
      </c>
      <c r="D169" s="73">
        <v>42775</v>
      </c>
      <c r="E169" s="72" t="s">
        <v>648</v>
      </c>
      <c r="F169" s="72">
        <v>5302639.1169999996</v>
      </c>
      <c r="G169" s="72">
        <v>1656057.1259999999</v>
      </c>
      <c r="H169" s="72">
        <v>11.66</v>
      </c>
    </row>
    <row r="170" spans="1:21" x14ac:dyDescent="0.3">
      <c r="A170" s="72" t="s">
        <v>587</v>
      </c>
      <c r="B170" s="72" t="s">
        <v>650</v>
      </c>
      <c r="C170" s="72" t="s">
        <v>659</v>
      </c>
      <c r="D170" s="73">
        <v>42775</v>
      </c>
      <c r="F170" s="72">
        <v>5302631.8459999999</v>
      </c>
      <c r="G170" s="72">
        <v>1656058.203</v>
      </c>
      <c r="H170" s="72">
        <v>11.638999999999999</v>
      </c>
      <c r="I170" s="74" t="s">
        <v>651</v>
      </c>
      <c r="J170" s="75">
        <f>SUM(H170-H$169)</f>
        <v>-2.1000000000000796E-2</v>
      </c>
      <c r="K170" s="75">
        <v>1.0182</v>
      </c>
      <c r="L170" s="75">
        <f>SUM(J170:K170)-0.2</f>
        <v>0.79719999999999924</v>
      </c>
      <c r="M170" s="72">
        <v>0.2</v>
      </c>
      <c r="N170" s="75">
        <f>AVERAGE(L170:L201)</f>
        <v>0.97504999999999975</v>
      </c>
      <c r="O170" s="75">
        <f>STDEVA(L170:L201)</f>
        <v>0.11907329675456299</v>
      </c>
    </row>
    <row r="171" spans="1:21" x14ac:dyDescent="0.3">
      <c r="A171" s="72" t="s">
        <v>590</v>
      </c>
      <c r="B171" s="72" t="s">
        <v>650</v>
      </c>
      <c r="C171" s="72" t="s">
        <v>659</v>
      </c>
      <c r="D171" s="73">
        <v>42775</v>
      </c>
      <c r="F171" s="72">
        <v>5302633.1310000001</v>
      </c>
      <c r="G171" s="72">
        <v>1656056.9509999999</v>
      </c>
      <c r="H171" s="72">
        <v>11.664</v>
      </c>
      <c r="I171" s="74" t="s">
        <v>651</v>
      </c>
      <c r="J171" s="75">
        <f>SUM(H171-H$169)</f>
        <v>3.9999999999995595E-3</v>
      </c>
      <c r="K171" s="75">
        <v>1.0182</v>
      </c>
      <c r="L171" s="75">
        <f>SUM(J171:K171)-0.2</f>
        <v>0.8221999999999996</v>
      </c>
    </row>
    <row r="172" spans="1:21" x14ac:dyDescent="0.3">
      <c r="A172" s="72" t="s">
        <v>593</v>
      </c>
      <c r="B172" s="72" t="s">
        <v>650</v>
      </c>
      <c r="C172" s="72" t="s">
        <v>659</v>
      </c>
      <c r="D172" s="73">
        <v>42775</v>
      </c>
      <c r="F172" s="72">
        <v>5302633.9189999998</v>
      </c>
      <c r="G172" s="72">
        <v>1656057.7290000001</v>
      </c>
      <c r="H172" s="72">
        <v>11.688000000000001</v>
      </c>
      <c r="I172" s="74" t="s">
        <v>651</v>
      </c>
      <c r="J172" s="75">
        <f>SUM(H172-H$169)</f>
        <v>2.8000000000000469E-2</v>
      </c>
      <c r="K172" s="75">
        <v>1.0182</v>
      </c>
      <c r="L172" s="75">
        <f>SUM(J172:K172)-0.2</f>
        <v>0.84620000000000051</v>
      </c>
    </row>
    <row r="173" spans="1:21" x14ac:dyDescent="0.3">
      <c r="A173" s="72" t="s">
        <v>596</v>
      </c>
      <c r="B173" s="72" t="s">
        <v>650</v>
      </c>
      <c r="C173" s="72" t="s">
        <v>659</v>
      </c>
      <c r="D173" s="73">
        <v>42775</v>
      </c>
      <c r="F173" s="72">
        <v>5302634.0269999998</v>
      </c>
      <c r="G173" s="72">
        <v>1656063.4709999999</v>
      </c>
      <c r="H173" s="72">
        <v>11.718</v>
      </c>
      <c r="I173" s="74" t="s">
        <v>651</v>
      </c>
      <c r="J173" s="75">
        <f>SUM(H173-H$169)</f>
        <v>5.7999999999999829E-2</v>
      </c>
      <c r="K173" s="75">
        <v>1.0182</v>
      </c>
      <c r="L173" s="75">
        <f>SUM(J173:K173)-0.2</f>
        <v>0.87619999999999987</v>
      </c>
      <c r="O173" s="72" t="s">
        <v>428</v>
      </c>
      <c r="P173" s="72" t="s">
        <v>429</v>
      </c>
      <c r="Q173" s="72" t="s">
        <v>430</v>
      </c>
      <c r="S173" s="72" t="s">
        <v>431</v>
      </c>
      <c r="T173" s="72">
        <v>1</v>
      </c>
      <c r="U173" s="72" t="s">
        <v>432</v>
      </c>
    </row>
    <row r="174" spans="1:21" x14ac:dyDescent="0.3">
      <c r="A174" s="72" t="s">
        <v>599</v>
      </c>
      <c r="B174" s="72" t="s">
        <v>650</v>
      </c>
      <c r="C174" s="72" t="s">
        <v>659</v>
      </c>
      <c r="D174" s="73">
        <v>42775</v>
      </c>
      <c r="F174" s="72">
        <v>5302632.2939999998</v>
      </c>
      <c r="G174" s="72">
        <v>1656062.709</v>
      </c>
      <c r="H174" s="72">
        <v>11.619</v>
      </c>
      <c r="I174" s="74" t="s">
        <v>651</v>
      </c>
      <c r="J174" s="75">
        <f>SUM(H174-H$169)</f>
        <v>-4.1000000000000369E-2</v>
      </c>
      <c r="K174" s="75">
        <v>1.0182</v>
      </c>
      <c r="L174" s="75">
        <f>SUM(J174:K174)-0.2</f>
        <v>0.77719999999999967</v>
      </c>
      <c r="O174" s="72">
        <v>16</v>
      </c>
      <c r="P174" s="72">
        <v>15</v>
      </c>
      <c r="Q174" s="72">
        <f>SUM(P174/60)+O174</f>
        <v>16.25</v>
      </c>
      <c r="R174" s="72" t="s">
        <v>433</v>
      </c>
      <c r="S174" s="72">
        <f>SUM(Q176-Q174)/(Q175-Q174)</f>
        <v>0.5135135135135136</v>
      </c>
      <c r="T174" s="72">
        <f>SUM(S174+1)</f>
        <v>1.5135135135135136</v>
      </c>
      <c r="U174" s="72">
        <f>SUM(T174*PI())</f>
        <v>4.7548429351629302</v>
      </c>
    </row>
    <row r="175" spans="1:21" x14ac:dyDescent="0.3">
      <c r="A175" s="72" t="s">
        <v>602</v>
      </c>
      <c r="B175" s="72" t="s">
        <v>650</v>
      </c>
      <c r="C175" s="72" t="s">
        <v>659</v>
      </c>
      <c r="D175" s="73">
        <v>42775</v>
      </c>
      <c r="F175" s="72">
        <v>5302662.7390000001</v>
      </c>
      <c r="G175" s="72">
        <v>1656027.0360000001</v>
      </c>
      <c r="H175" s="72">
        <v>11.69</v>
      </c>
      <c r="I175" s="74" t="s">
        <v>651</v>
      </c>
      <c r="J175" s="75">
        <f>SUM(H175-H$169)</f>
        <v>2.9999999999999361E-2</v>
      </c>
      <c r="K175" s="75">
        <v>1.0182</v>
      </c>
      <c r="L175" s="75">
        <f>SUM(J175:K175)-0.2</f>
        <v>0.8481999999999994</v>
      </c>
      <c r="O175" s="72">
        <v>22</v>
      </c>
      <c r="P175" s="72">
        <v>25</v>
      </c>
      <c r="Q175" s="72">
        <f>SUM(P175/60)+O175</f>
        <v>22.416666666666668</v>
      </c>
      <c r="R175" s="72" t="s">
        <v>434</v>
      </c>
    </row>
    <row r="176" spans="1:21" x14ac:dyDescent="0.3">
      <c r="A176" s="72" t="s">
        <v>605</v>
      </c>
      <c r="B176" s="72" t="s">
        <v>650</v>
      </c>
      <c r="C176" s="72" t="s">
        <v>659</v>
      </c>
      <c r="D176" s="73">
        <v>42775</v>
      </c>
      <c r="F176" s="72">
        <v>5302661.4289999995</v>
      </c>
      <c r="G176" s="72">
        <v>1656026.38</v>
      </c>
      <c r="H176" s="72">
        <v>11.707000000000001</v>
      </c>
      <c r="I176" s="74" t="s">
        <v>651</v>
      </c>
      <c r="J176" s="75">
        <f>SUM(H176-H$169)</f>
        <v>4.7000000000000597E-2</v>
      </c>
      <c r="K176" s="75">
        <v>1.0182</v>
      </c>
      <c r="L176" s="75">
        <f>SUM(J176:K176)-0.2</f>
        <v>0.86520000000000064</v>
      </c>
      <c r="O176" s="72">
        <v>19</v>
      </c>
      <c r="P176" s="72">
        <v>25</v>
      </c>
      <c r="Q176" s="72">
        <f>SUM(P176/60)+O176</f>
        <v>19.416666666666668</v>
      </c>
      <c r="R176" s="72" t="s">
        <v>435</v>
      </c>
    </row>
    <row r="177" spans="1:19" x14ac:dyDescent="0.3">
      <c r="A177" s="72" t="s">
        <v>608</v>
      </c>
      <c r="B177" s="72" t="s">
        <v>650</v>
      </c>
      <c r="C177" s="72" t="s">
        <v>659</v>
      </c>
      <c r="D177" s="73">
        <v>42775</v>
      </c>
      <c r="F177" s="72">
        <v>5302667.1059999997</v>
      </c>
      <c r="G177" s="72">
        <v>1656023.091</v>
      </c>
      <c r="H177" s="72">
        <v>11.872</v>
      </c>
      <c r="I177" s="74" t="s">
        <v>651</v>
      </c>
      <c r="J177" s="75">
        <f>SUM(H177-H$169)</f>
        <v>0.21199999999999974</v>
      </c>
      <c r="K177" s="75">
        <v>1.0182</v>
      </c>
      <c r="L177" s="75">
        <f>SUM(J177:K177)-0.2</f>
        <v>1.0301999999999998</v>
      </c>
    </row>
    <row r="178" spans="1:19" x14ac:dyDescent="0.3">
      <c r="A178" s="72" t="s">
        <v>611</v>
      </c>
      <c r="B178" s="72" t="s">
        <v>650</v>
      </c>
      <c r="C178" s="72" t="s">
        <v>659</v>
      </c>
      <c r="D178" s="73">
        <v>42775</v>
      </c>
      <c r="F178" s="72">
        <v>5302665.57</v>
      </c>
      <c r="G178" s="72">
        <v>1656021.3319999999</v>
      </c>
      <c r="H178" s="72">
        <v>11.898999999999999</v>
      </c>
      <c r="I178" s="74" t="s">
        <v>651</v>
      </c>
      <c r="J178" s="75">
        <f>SUM(H178-H$169)</f>
        <v>0.23899999999999899</v>
      </c>
      <c r="K178" s="75">
        <v>1.0182</v>
      </c>
      <c r="L178" s="75">
        <f>SUM(J178:K178)-0.2</f>
        <v>1.057199999999999</v>
      </c>
    </row>
    <row r="179" spans="1:19" x14ac:dyDescent="0.3">
      <c r="A179" s="72" t="s">
        <v>614</v>
      </c>
      <c r="B179" s="72" t="s">
        <v>650</v>
      </c>
      <c r="C179" s="72" t="s">
        <v>659</v>
      </c>
      <c r="D179" s="73">
        <v>42775</v>
      </c>
      <c r="F179" s="72">
        <v>5302665.8839999996</v>
      </c>
      <c r="G179" s="72">
        <v>1656021.139</v>
      </c>
      <c r="H179" s="72">
        <v>11.881</v>
      </c>
      <c r="I179" s="74" t="s">
        <v>651</v>
      </c>
      <c r="J179" s="75">
        <f>SUM(H179-H$169)</f>
        <v>0.22100000000000009</v>
      </c>
      <c r="K179" s="75">
        <v>1.0182</v>
      </c>
      <c r="L179" s="75">
        <f>SUM(J179:K179)-0.2</f>
        <v>1.0392000000000001</v>
      </c>
    </row>
    <row r="180" spans="1:19" x14ac:dyDescent="0.3">
      <c r="A180" s="72" t="s">
        <v>617</v>
      </c>
      <c r="B180" s="72" t="s">
        <v>650</v>
      </c>
      <c r="C180" s="72" t="s">
        <v>659</v>
      </c>
      <c r="D180" s="73">
        <v>42775</v>
      </c>
      <c r="F180" s="72">
        <v>5302672.6430000002</v>
      </c>
      <c r="G180" s="72">
        <v>1656014.4820000001</v>
      </c>
      <c r="H180" s="72">
        <v>11.833</v>
      </c>
      <c r="I180" s="74" t="s">
        <v>651</v>
      </c>
      <c r="J180" s="75">
        <f>SUM(H180-H$169)</f>
        <v>0.17300000000000004</v>
      </c>
      <c r="K180" s="75">
        <v>1.0182</v>
      </c>
      <c r="L180" s="75">
        <f>SUM(J180:K180)-0.2</f>
        <v>0.99120000000000008</v>
      </c>
    </row>
    <row r="181" spans="1:19" x14ac:dyDescent="0.3">
      <c r="A181" s="72" t="s">
        <v>620</v>
      </c>
      <c r="B181" s="72" t="s">
        <v>650</v>
      </c>
      <c r="C181" s="72" t="s">
        <v>659</v>
      </c>
      <c r="D181" s="73">
        <v>42775</v>
      </c>
      <c r="F181" s="72">
        <v>5302672.9380000001</v>
      </c>
      <c r="G181" s="72">
        <v>1656015.5589999999</v>
      </c>
      <c r="H181" s="72">
        <v>11.851000000000001</v>
      </c>
      <c r="I181" s="74" t="s">
        <v>651</v>
      </c>
      <c r="J181" s="75">
        <f>SUM(H181-H$169)</f>
        <v>0.19100000000000072</v>
      </c>
      <c r="K181" s="75">
        <v>1.0182</v>
      </c>
      <c r="L181" s="75">
        <f>SUM(J181:K181)-0.2</f>
        <v>1.0092000000000008</v>
      </c>
      <c r="O181" s="72" t="s">
        <v>436</v>
      </c>
      <c r="P181" s="72" t="s">
        <v>437</v>
      </c>
      <c r="Q181" s="71" t="s">
        <v>438</v>
      </c>
      <c r="S181" s="11" t="s">
        <v>680</v>
      </c>
    </row>
    <row r="182" spans="1:19" ht="15.6" x14ac:dyDescent="0.35">
      <c r="A182" s="72" t="s">
        <v>623</v>
      </c>
      <c r="B182" s="72" t="s">
        <v>650</v>
      </c>
      <c r="C182" s="72" t="s">
        <v>659</v>
      </c>
      <c r="D182" s="73">
        <v>42775</v>
      </c>
      <c r="F182" s="72">
        <v>5302670.6710000001</v>
      </c>
      <c r="G182" s="72">
        <v>1656013.3540000001</v>
      </c>
      <c r="H182" s="72">
        <v>11.842000000000001</v>
      </c>
      <c r="I182" s="74" t="s">
        <v>651</v>
      </c>
      <c r="J182" s="75">
        <f>SUM(H182-H$169)</f>
        <v>0.18200000000000038</v>
      </c>
      <c r="K182" s="75">
        <v>1.0182</v>
      </c>
      <c r="L182" s="75">
        <f>SUM(J182:K182)-0.2</f>
        <v>1.0002000000000004</v>
      </c>
      <c r="O182" s="72">
        <v>1.8</v>
      </c>
      <c r="P182" s="72">
        <v>0.3</v>
      </c>
      <c r="Q182" s="76">
        <f>SUM(O182+(P182-O182)*((COS(U174)+1)/2))</f>
        <v>1.0181690976028888</v>
      </c>
      <c r="S182" s="69" t="s">
        <v>683</v>
      </c>
    </row>
    <row r="183" spans="1:19" x14ac:dyDescent="0.3">
      <c r="A183" s="72" t="s">
        <v>626</v>
      </c>
      <c r="B183" s="72" t="s">
        <v>650</v>
      </c>
      <c r="C183" s="72" t="s">
        <v>659</v>
      </c>
      <c r="D183" s="73">
        <v>42775</v>
      </c>
      <c r="F183" s="72">
        <v>5302669.307</v>
      </c>
      <c r="G183" s="72">
        <v>1656010.8929999999</v>
      </c>
      <c r="H183" s="72">
        <v>11.853999999999999</v>
      </c>
      <c r="I183" s="74" t="s">
        <v>651</v>
      </c>
      <c r="J183" s="75">
        <f>SUM(H183-H$169)</f>
        <v>0.19399999999999906</v>
      </c>
      <c r="K183" s="75">
        <v>1.0182</v>
      </c>
      <c r="L183" s="75">
        <f>SUM(J183:K183)-0.2</f>
        <v>1.0121999999999991</v>
      </c>
    </row>
    <row r="184" spans="1:19" x14ac:dyDescent="0.3">
      <c r="A184" s="72" t="s">
        <v>629</v>
      </c>
      <c r="B184" s="72" t="s">
        <v>650</v>
      </c>
      <c r="C184" s="72" t="s">
        <v>659</v>
      </c>
      <c r="D184" s="73">
        <v>42775</v>
      </c>
      <c r="F184" s="72">
        <v>5302670.4119999995</v>
      </c>
      <c r="G184" s="72">
        <v>1656010.7590000001</v>
      </c>
      <c r="H184" s="72">
        <v>11.882999999999999</v>
      </c>
      <c r="I184" s="74" t="s">
        <v>651</v>
      </c>
      <c r="J184" s="75">
        <f>SUM(H184-H$169)</f>
        <v>0.22299999999999898</v>
      </c>
      <c r="K184" s="75">
        <v>1.0182</v>
      </c>
      <c r="L184" s="75">
        <f>SUM(J184:K184)-0.2</f>
        <v>1.041199999999999</v>
      </c>
    </row>
    <row r="185" spans="1:19" x14ac:dyDescent="0.3">
      <c r="A185" s="72" t="s">
        <v>632</v>
      </c>
      <c r="B185" s="72" t="s">
        <v>650</v>
      </c>
      <c r="C185" s="72" t="s">
        <v>659</v>
      </c>
      <c r="D185" s="73">
        <v>42775</v>
      </c>
      <c r="F185" s="72">
        <v>5302669.3499999996</v>
      </c>
      <c r="G185" s="72">
        <v>1656010.128</v>
      </c>
      <c r="H185" s="72">
        <v>11.906000000000001</v>
      </c>
      <c r="I185" s="74" t="s">
        <v>651</v>
      </c>
      <c r="J185" s="75">
        <f>SUM(H185-H$169)</f>
        <v>0.24600000000000044</v>
      </c>
      <c r="K185" s="75">
        <v>1.0182</v>
      </c>
      <c r="L185" s="75">
        <f>SUM(J185:K185)-0.2</f>
        <v>1.0642000000000005</v>
      </c>
    </row>
    <row r="186" spans="1:19" x14ac:dyDescent="0.3">
      <c r="A186" s="72" t="s">
        <v>635</v>
      </c>
      <c r="B186" s="72" t="s">
        <v>650</v>
      </c>
      <c r="C186" s="72" t="s">
        <v>659</v>
      </c>
      <c r="D186" s="73">
        <v>42775</v>
      </c>
      <c r="F186" s="72">
        <v>5302671.415</v>
      </c>
      <c r="G186" s="72">
        <v>1656005.1780000001</v>
      </c>
      <c r="H186" s="72">
        <v>12.058</v>
      </c>
      <c r="I186" s="74" t="s">
        <v>651</v>
      </c>
      <c r="J186" s="75">
        <f>SUM(H186-H$169)</f>
        <v>0.39799999999999969</v>
      </c>
      <c r="K186" s="75">
        <v>1.0182</v>
      </c>
      <c r="L186" s="75">
        <f>SUM(J186:K186)-0.2</f>
        <v>1.2161999999999997</v>
      </c>
    </row>
    <row r="187" spans="1:19" x14ac:dyDescent="0.3">
      <c r="A187" s="72" t="s">
        <v>638</v>
      </c>
      <c r="B187" s="72" t="s">
        <v>650</v>
      </c>
      <c r="C187" s="72" t="s">
        <v>659</v>
      </c>
      <c r="D187" s="73">
        <v>42775</v>
      </c>
      <c r="F187" s="72">
        <v>5302671.5</v>
      </c>
      <c r="G187" s="72">
        <v>1656006.1510000001</v>
      </c>
      <c r="H187" s="72">
        <v>11.975</v>
      </c>
      <c r="I187" s="74" t="s">
        <v>651</v>
      </c>
      <c r="J187" s="75">
        <f>SUM(H187-H$169)</f>
        <v>0.3149999999999995</v>
      </c>
      <c r="K187" s="75">
        <v>1.0182</v>
      </c>
      <c r="L187" s="75">
        <f>SUM(J187:K187)-0.2</f>
        <v>1.1331999999999995</v>
      </c>
    </row>
    <row r="188" spans="1:19" x14ac:dyDescent="0.3">
      <c r="A188" s="72" t="s">
        <v>641</v>
      </c>
      <c r="B188" s="72" t="s">
        <v>650</v>
      </c>
      <c r="C188" s="72" t="s">
        <v>659</v>
      </c>
      <c r="D188" s="73">
        <v>42775</v>
      </c>
      <c r="F188" s="72">
        <v>5302671.0010000002</v>
      </c>
      <c r="G188" s="72">
        <v>1656003.4469999999</v>
      </c>
      <c r="H188" s="72">
        <v>11.87</v>
      </c>
      <c r="I188" s="74" t="s">
        <v>651</v>
      </c>
      <c r="J188" s="75">
        <f>SUM(H188-H$169)</f>
        <v>0.20999999999999908</v>
      </c>
      <c r="K188" s="75">
        <v>1.0182</v>
      </c>
      <c r="L188" s="75">
        <f>SUM(J188:K188)-0.2</f>
        <v>1.0281999999999991</v>
      </c>
    </row>
    <row r="189" spans="1:19" x14ac:dyDescent="0.3">
      <c r="A189" s="72" t="s">
        <v>644</v>
      </c>
      <c r="B189" s="72" t="s">
        <v>650</v>
      </c>
      <c r="C189" s="72" t="s">
        <v>659</v>
      </c>
      <c r="D189" s="73">
        <v>42775</v>
      </c>
      <c r="E189" s="72" t="s">
        <v>649</v>
      </c>
      <c r="F189" s="72">
        <v>5302672.9850000003</v>
      </c>
      <c r="G189" s="72">
        <v>1655996.4890000001</v>
      </c>
      <c r="H189" s="72">
        <v>11.888</v>
      </c>
      <c r="I189" s="74" t="s">
        <v>651</v>
      </c>
      <c r="J189" s="75">
        <f>SUM(H189-H$169)</f>
        <v>0.22799999999999976</v>
      </c>
      <c r="K189" s="75">
        <v>1.0182</v>
      </c>
      <c r="L189" s="75">
        <f>SUM(J189:K189)-0.2</f>
        <v>1.0461999999999998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24"/>
  <sheetViews>
    <sheetView zoomScale="75" zoomScaleNormal="75" workbookViewId="0">
      <pane xSplit="2" ySplit="1" topLeftCell="C2" activePane="bottomRight" state="frozen"/>
      <selection pane="topRight" activeCell="C1" sqref="C1"/>
      <selection pane="bottomLeft" activeCell="A2" sqref="A2"/>
      <selection pane="bottomRight" activeCell="T14" sqref="T14"/>
    </sheetView>
  </sheetViews>
  <sheetFormatPr defaultColWidth="9.109375" defaultRowHeight="14.4" x14ac:dyDescent="0.3"/>
  <cols>
    <col min="1" max="1" width="24.5546875" style="38" customWidth="1"/>
    <col min="2" max="2" width="13.5546875" style="38" customWidth="1"/>
    <col min="3" max="3" width="9.33203125" style="38" bestFit="1" customWidth="1"/>
    <col min="4" max="4" width="10.5546875" style="38" bestFit="1" customWidth="1"/>
    <col min="5" max="5" width="13.44140625" style="38" customWidth="1"/>
    <col min="6" max="6" width="14.33203125" style="38" customWidth="1"/>
    <col min="7" max="7" width="20.109375" style="38" customWidth="1"/>
    <col min="8" max="8" width="29.33203125" style="38" customWidth="1"/>
    <col min="9" max="9" width="16" style="38" customWidth="1"/>
    <col min="10" max="10" width="13.44140625" style="38" customWidth="1"/>
    <col min="11" max="11" width="16.5546875" style="38" customWidth="1"/>
    <col min="12" max="12" width="9.33203125" style="38" bestFit="1" customWidth="1"/>
    <col min="13" max="16384" width="9.109375" style="38"/>
  </cols>
  <sheetData>
    <row r="1" spans="1:22" ht="15.6" x14ac:dyDescent="0.35">
      <c r="A1" s="50" t="s">
        <v>0</v>
      </c>
      <c r="B1" s="50" t="s">
        <v>1</v>
      </c>
      <c r="C1" s="50" t="s">
        <v>2</v>
      </c>
      <c r="D1" s="50" t="s">
        <v>3</v>
      </c>
      <c r="E1" s="50" t="s">
        <v>4</v>
      </c>
      <c r="F1" s="50" t="s">
        <v>7</v>
      </c>
      <c r="G1" s="50" t="s">
        <v>8</v>
      </c>
      <c r="H1" s="50" t="s">
        <v>9</v>
      </c>
      <c r="I1" s="50" t="s">
        <v>666</v>
      </c>
      <c r="J1" s="50" t="s">
        <v>687</v>
      </c>
      <c r="K1" s="50" t="s">
        <v>688</v>
      </c>
      <c r="L1" s="50" t="s">
        <v>670</v>
      </c>
      <c r="M1" s="50" t="s">
        <v>495</v>
      </c>
      <c r="N1" s="50" t="s">
        <v>678</v>
      </c>
      <c r="O1" s="50" t="s">
        <v>504</v>
      </c>
      <c r="P1" s="50"/>
      <c r="Q1" s="50" t="s">
        <v>685</v>
      </c>
      <c r="R1" s="50" t="s">
        <v>686</v>
      </c>
      <c r="V1" s="54"/>
    </row>
    <row r="2" spans="1:22" x14ac:dyDescent="0.3">
      <c r="A2" s="50"/>
      <c r="B2" s="50"/>
      <c r="C2" s="50"/>
      <c r="D2" s="50"/>
      <c r="E2" s="50"/>
      <c r="F2" s="50"/>
      <c r="G2" s="50"/>
      <c r="H2" s="50"/>
      <c r="I2" s="50"/>
      <c r="J2" s="50"/>
      <c r="K2" s="50"/>
      <c r="L2" s="50"/>
      <c r="M2" s="50"/>
      <c r="N2" s="50"/>
      <c r="O2" s="50"/>
      <c r="P2" s="50"/>
      <c r="Q2" s="50"/>
      <c r="R2" s="50"/>
      <c r="V2" s="54"/>
    </row>
    <row r="3" spans="1:22" s="45" customFormat="1" x14ac:dyDescent="0.3">
      <c r="A3" s="45">
        <v>1</v>
      </c>
      <c r="B3" s="82" t="s">
        <v>505</v>
      </c>
      <c r="C3" s="82" t="s">
        <v>684</v>
      </c>
      <c r="D3" s="83">
        <v>42767</v>
      </c>
      <c r="E3" s="84">
        <v>0.53125</v>
      </c>
      <c r="F3" s="82">
        <v>1642963</v>
      </c>
      <c r="G3" s="82">
        <v>5295583</v>
      </c>
      <c r="H3" s="85" t="s">
        <v>11</v>
      </c>
      <c r="I3" s="82" t="s">
        <v>456</v>
      </c>
      <c r="J3" s="82">
        <v>1.55</v>
      </c>
      <c r="K3" s="81">
        <v>1.88</v>
      </c>
      <c r="L3" s="45">
        <f t="shared" ref="L3:L19" si="0">SUM(J3:K3)-M3-N3</f>
        <v>2.0699999999999994</v>
      </c>
      <c r="M3" s="82">
        <v>1.1000000000000001</v>
      </c>
      <c r="N3" s="77">
        <v>0.26</v>
      </c>
      <c r="O3" s="53">
        <f>AVERAGE(L3:L19)</f>
        <v>1.6576470588235297</v>
      </c>
      <c r="P3" s="81"/>
      <c r="Q3" s="53">
        <f>AVERAGE(L3:L19)</f>
        <v>1.6576470588235297</v>
      </c>
      <c r="R3" s="53">
        <f>STDEVA(L3:L19)</f>
        <v>0.17264593145237242</v>
      </c>
      <c r="T3" s="82"/>
    </row>
    <row r="4" spans="1:22" s="45" customFormat="1" x14ac:dyDescent="0.3">
      <c r="A4" s="45">
        <f>SUM(A3+1)</f>
        <v>2</v>
      </c>
      <c r="B4" s="82" t="s">
        <v>505</v>
      </c>
      <c r="C4" s="82" t="s">
        <v>684</v>
      </c>
      <c r="D4" s="83">
        <v>42767</v>
      </c>
      <c r="E4" s="84"/>
      <c r="F4" s="82">
        <v>1642963</v>
      </c>
      <c r="G4" s="82">
        <v>5295583</v>
      </c>
      <c r="H4" s="85" t="s">
        <v>11</v>
      </c>
      <c r="I4" s="82" t="s">
        <v>456</v>
      </c>
      <c r="J4" s="82">
        <v>1.3</v>
      </c>
      <c r="K4" s="81">
        <v>1.88</v>
      </c>
      <c r="L4" s="45">
        <f t="shared" si="0"/>
        <v>1.8199999999999996</v>
      </c>
      <c r="M4" s="82">
        <v>1.1000000000000001</v>
      </c>
      <c r="N4" s="77">
        <v>0.26</v>
      </c>
      <c r="O4" s="82"/>
      <c r="T4" s="82"/>
    </row>
    <row r="5" spans="1:22" s="45" customFormat="1" x14ac:dyDescent="0.3">
      <c r="A5" s="45">
        <f t="shared" ref="A5:A19" si="1">SUM(A4+1)</f>
        <v>3</v>
      </c>
      <c r="B5" s="82" t="s">
        <v>505</v>
      </c>
      <c r="C5" s="82" t="s">
        <v>684</v>
      </c>
      <c r="D5" s="83">
        <v>42767</v>
      </c>
      <c r="E5" s="84"/>
      <c r="F5" s="82">
        <v>1642963</v>
      </c>
      <c r="G5" s="82">
        <v>5295583</v>
      </c>
      <c r="H5" s="85" t="s">
        <v>11</v>
      </c>
      <c r="I5" s="82" t="s">
        <v>12</v>
      </c>
      <c r="J5" s="82">
        <v>1.2</v>
      </c>
      <c r="K5" s="81">
        <v>1.88</v>
      </c>
      <c r="L5" s="45">
        <f t="shared" si="0"/>
        <v>1.72</v>
      </c>
      <c r="M5" s="82">
        <v>1.1000000000000001</v>
      </c>
      <c r="N5" s="77">
        <v>0.26</v>
      </c>
      <c r="O5" s="82"/>
      <c r="T5" s="82"/>
    </row>
    <row r="6" spans="1:22" s="45" customFormat="1" x14ac:dyDescent="0.3">
      <c r="A6" s="45">
        <f t="shared" si="1"/>
        <v>4</v>
      </c>
      <c r="B6" s="82" t="s">
        <v>505</v>
      </c>
      <c r="C6" s="82" t="s">
        <v>684</v>
      </c>
      <c r="D6" s="83">
        <v>42767</v>
      </c>
      <c r="E6" s="84"/>
      <c r="F6" s="82">
        <v>1642963</v>
      </c>
      <c r="G6" s="82">
        <v>5295583</v>
      </c>
      <c r="H6" s="85" t="s">
        <v>11</v>
      </c>
      <c r="I6" s="82" t="s">
        <v>12</v>
      </c>
      <c r="J6" s="82">
        <v>1.1000000000000001</v>
      </c>
      <c r="K6" s="81">
        <v>1.88</v>
      </c>
      <c r="L6" s="45">
        <f t="shared" si="0"/>
        <v>1.6199999999999999</v>
      </c>
      <c r="M6" s="82">
        <v>1.1000000000000001</v>
      </c>
      <c r="N6" s="77">
        <v>0.26</v>
      </c>
      <c r="O6" s="82"/>
      <c r="T6" s="82"/>
    </row>
    <row r="7" spans="1:22" s="45" customFormat="1" x14ac:dyDescent="0.3">
      <c r="A7" s="45">
        <f t="shared" si="1"/>
        <v>5</v>
      </c>
      <c r="B7" s="82" t="s">
        <v>505</v>
      </c>
      <c r="C7" s="82" t="s">
        <v>684</v>
      </c>
      <c r="D7" s="83">
        <v>42767</v>
      </c>
      <c r="E7" s="84"/>
      <c r="F7" s="82">
        <v>1642963</v>
      </c>
      <c r="G7" s="82">
        <v>5295583</v>
      </c>
      <c r="H7" s="85" t="s">
        <v>11</v>
      </c>
      <c r="I7" s="82" t="s">
        <v>12</v>
      </c>
      <c r="J7" s="82">
        <v>1.3</v>
      </c>
      <c r="K7" s="81">
        <v>1.88</v>
      </c>
      <c r="L7" s="45">
        <f t="shared" si="0"/>
        <v>1.8199999999999996</v>
      </c>
      <c r="M7" s="82">
        <v>1.1000000000000001</v>
      </c>
      <c r="N7" s="77">
        <v>0.26</v>
      </c>
      <c r="O7" s="82"/>
      <c r="T7" s="82"/>
    </row>
    <row r="8" spans="1:22" s="45" customFormat="1" x14ac:dyDescent="0.3">
      <c r="A8" s="45">
        <f t="shared" si="1"/>
        <v>6</v>
      </c>
      <c r="B8" s="82" t="s">
        <v>505</v>
      </c>
      <c r="C8" s="82" t="s">
        <v>684</v>
      </c>
      <c r="D8" s="83">
        <v>42767</v>
      </c>
      <c r="E8" s="84"/>
      <c r="F8" s="82">
        <v>1642963</v>
      </c>
      <c r="G8" s="82">
        <v>5295583</v>
      </c>
      <c r="H8" s="85" t="s">
        <v>11</v>
      </c>
      <c r="I8" s="82" t="s">
        <v>12</v>
      </c>
      <c r="J8" s="82">
        <v>1.3</v>
      </c>
      <c r="K8" s="81">
        <v>1.88</v>
      </c>
      <c r="L8" s="45">
        <f t="shared" si="0"/>
        <v>1.8199999999999996</v>
      </c>
      <c r="M8" s="82">
        <v>1.1000000000000001</v>
      </c>
      <c r="N8" s="77">
        <v>0.26</v>
      </c>
      <c r="O8" s="82"/>
      <c r="T8" s="82"/>
    </row>
    <row r="9" spans="1:22" s="45" customFormat="1" x14ac:dyDescent="0.3">
      <c r="A9" s="45">
        <f t="shared" si="1"/>
        <v>7</v>
      </c>
      <c r="B9" s="82" t="s">
        <v>505</v>
      </c>
      <c r="C9" s="82" t="s">
        <v>684</v>
      </c>
      <c r="D9" s="83">
        <v>42767</v>
      </c>
      <c r="E9" s="84"/>
      <c r="F9" s="82">
        <v>1642963</v>
      </c>
      <c r="G9" s="82">
        <v>5295583</v>
      </c>
      <c r="H9" s="85" t="s">
        <v>11</v>
      </c>
      <c r="I9" s="82" t="s">
        <v>12</v>
      </c>
      <c r="J9" s="82">
        <v>1.25</v>
      </c>
      <c r="K9" s="81">
        <v>1.88</v>
      </c>
      <c r="L9" s="45">
        <f t="shared" si="0"/>
        <v>1.7699999999999998</v>
      </c>
      <c r="M9" s="82">
        <v>1.1000000000000001</v>
      </c>
      <c r="N9" s="77">
        <v>0.26</v>
      </c>
      <c r="O9" s="82"/>
      <c r="T9" s="82"/>
    </row>
    <row r="10" spans="1:22" s="45" customFormat="1" x14ac:dyDescent="0.3">
      <c r="A10" s="45">
        <f t="shared" si="1"/>
        <v>8</v>
      </c>
      <c r="B10" s="82" t="s">
        <v>505</v>
      </c>
      <c r="C10" s="82" t="s">
        <v>684</v>
      </c>
      <c r="D10" s="83">
        <v>42767</v>
      </c>
      <c r="E10" s="84"/>
      <c r="F10" s="82">
        <v>1642963</v>
      </c>
      <c r="G10" s="82">
        <v>5295583</v>
      </c>
      <c r="H10" s="85" t="s">
        <v>11</v>
      </c>
      <c r="I10" s="82" t="s">
        <v>12</v>
      </c>
      <c r="J10" s="82">
        <v>1.27</v>
      </c>
      <c r="K10" s="81">
        <v>1.88</v>
      </c>
      <c r="L10" s="45">
        <f t="shared" si="0"/>
        <v>1.7899999999999998</v>
      </c>
      <c r="M10" s="82">
        <v>1.1000000000000001</v>
      </c>
      <c r="N10" s="77">
        <v>0.26</v>
      </c>
      <c r="O10" s="82"/>
      <c r="T10" s="82"/>
    </row>
    <row r="11" spans="1:22" s="45" customFormat="1" x14ac:dyDescent="0.3">
      <c r="A11" s="45">
        <f t="shared" si="1"/>
        <v>9</v>
      </c>
      <c r="B11" s="82" t="s">
        <v>505</v>
      </c>
      <c r="C11" s="82" t="s">
        <v>684</v>
      </c>
      <c r="D11" s="83">
        <v>42767</v>
      </c>
      <c r="E11" s="84"/>
      <c r="F11" s="82">
        <v>1642963</v>
      </c>
      <c r="G11" s="82">
        <v>5295583</v>
      </c>
      <c r="H11" s="42" t="s">
        <v>13</v>
      </c>
      <c r="I11" s="82" t="s">
        <v>456</v>
      </c>
      <c r="J11" s="82">
        <v>1.1000000000000001</v>
      </c>
      <c r="K11" s="81">
        <v>1.88</v>
      </c>
      <c r="L11" s="45">
        <f t="shared" si="0"/>
        <v>1.5</v>
      </c>
      <c r="M11" s="82">
        <v>1.1000000000000001</v>
      </c>
      <c r="N11" s="81">
        <v>0.38</v>
      </c>
      <c r="O11" s="82"/>
      <c r="T11" s="82"/>
    </row>
    <row r="12" spans="1:22" s="45" customFormat="1" x14ac:dyDescent="0.3">
      <c r="A12" s="45">
        <f t="shared" si="1"/>
        <v>10</v>
      </c>
      <c r="B12" s="82" t="s">
        <v>505</v>
      </c>
      <c r="C12" s="82" t="s">
        <v>684</v>
      </c>
      <c r="D12" s="83">
        <v>42767</v>
      </c>
      <c r="E12" s="84"/>
      <c r="F12" s="82">
        <v>1642963</v>
      </c>
      <c r="G12" s="82">
        <v>5295583</v>
      </c>
      <c r="H12" s="42" t="s">
        <v>13</v>
      </c>
      <c r="I12" s="82" t="s">
        <v>12</v>
      </c>
      <c r="J12" s="82">
        <v>1.1000000000000001</v>
      </c>
      <c r="K12" s="81">
        <v>1.88</v>
      </c>
      <c r="L12" s="45">
        <f t="shared" si="0"/>
        <v>1.5</v>
      </c>
      <c r="M12" s="82">
        <v>1.1000000000000001</v>
      </c>
      <c r="N12" s="81">
        <v>0.38</v>
      </c>
      <c r="O12" s="82"/>
      <c r="T12" s="82"/>
    </row>
    <row r="13" spans="1:22" s="45" customFormat="1" x14ac:dyDescent="0.3">
      <c r="A13" s="45">
        <f t="shared" si="1"/>
        <v>11</v>
      </c>
      <c r="B13" s="82" t="s">
        <v>505</v>
      </c>
      <c r="C13" s="82" t="s">
        <v>684</v>
      </c>
      <c r="D13" s="83">
        <v>42767</v>
      </c>
      <c r="E13" s="84"/>
      <c r="F13" s="82">
        <v>1642963</v>
      </c>
      <c r="G13" s="82">
        <v>5295583</v>
      </c>
      <c r="H13" s="42" t="s">
        <v>13</v>
      </c>
      <c r="I13" s="82" t="s">
        <v>12</v>
      </c>
      <c r="J13" s="82">
        <v>1.2</v>
      </c>
      <c r="K13" s="81">
        <v>1.88</v>
      </c>
      <c r="L13" s="45">
        <f t="shared" si="0"/>
        <v>1.6</v>
      </c>
      <c r="M13" s="82">
        <v>1.1000000000000001</v>
      </c>
      <c r="N13" s="81">
        <v>0.38</v>
      </c>
      <c r="O13" s="82"/>
      <c r="T13" s="82"/>
    </row>
    <row r="14" spans="1:22" s="45" customFormat="1" x14ac:dyDescent="0.3">
      <c r="A14" s="45">
        <f t="shared" si="1"/>
        <v>12</v>
      </c>
      <c r="B14" s="82" t="s">
        <v>505</v>
      </c>
      <c r="C14" s="82" t="s">
        <v>684</v>
      </c>
      <c r="D14" s="83">
        <v>42767</v>
      </c>
      <c r="E14" s="84"/>
      <c r="F14" s="82">
        <v>1642963</v>
      </c>
      <c r="G14" s="82">
        <v>5295583</v>
      </c>
      <c r="H14" s="42" t="s">
        <v>13</v>
      </c>
      <c r="I14" s="82" t="s">
        <v>12</v>
      </c>
      <c r="J14" s="82">
        <v>1.2</v>
      </c>
      <c r="K14" s="81">
        <v>1.88</v>
      </c>
      <c r="L14" s="45">
        <f t="shared" si="0"/>
        <v>1.6</v>
      </c>
      <c r="M14" s="82">
        <v>1.1000000000000001</v>
      </c>
      <c r="N14" s="81">
        <v>0.38</v>
      </c>
      <c r="O14" s="82"/>
      <c r="T14" s="82"/>
    </row>
    <row r="15" spans="1:22" s="45" customFormat="1" x14ac:dyDescent="0.3">
      <c r="A15" s="45">
        <f t="shared" si="1"/>
        <v>13</v>
      </c>
      <c r="B15" s="82" t="s">
        <v>505</v>
      </c>
      <c r="C15" s="82" t="s">
        <v>684</v>
      </c>
      <c r="D15" s="83">
        <v>42767</v>
      </c>
      <c r="E15" s="84"/>
      <c r="F15" s="82">
        <v>1642963</v>
      </c>
      <c r="G15" s="82">
        <v>5295583</v>
      </c>
      <c r="H15" s="42" t="s">
        <v>13</v>
      </c>
      <c r="I15" s="82" t="s">
        <v>12</v>
      </c>
      <c r="J15" s="82">
        <v>1.1499999999999999</v>
      </c>
      <c r="K15" s="81">
        <v>1.88</v>
      </c>
      <c r="L15" s="45">
        <f t="shared" si="0"/>
        <v>1.5499999999999998</v>
      </c>
      <c r="M15" s="82">
        <v>1.1000000000000001</v>
      </c>
      <c r="N15" s="81">
        <v>0.38</v>
      </c>
      <c r="O15" s="82"/>
      <c r="T15" s="82"/>
    </row>
    <row r="16" spans="1:22" s="45" customFormat="1" x14ac:dyDescent="0.3">
      <c r="A16" s="45">
        <f t="shared" si="1"/>
        <v>14</v>
      </c>
      <c r="B16" s="82" t="s">
        <v>505</v>
      </c>
      <c r="C16" s="82" t="s">
        <v>684</v>
      </c>
      <c r="D16" s="83">
        <v>42767</v>
      </c>
      <c r="E16" s="84"/>
      <c r="F16" s="82">
        <v>1642963</v>
      </c>
      <c r="G16" s="82">
        <v>5295583</v>
      </c>
      <c r="H16" s="42" t="s">
        <v>13</v>
      </c>
      <c r="I16" s="82" t="s">
        <v>12</v>
      </c>
      <c r="J16" s="82">
        <v>1.05</v>
      </c>
      <c r="K16" s="81">
        <v>1.88</v>
      </c>
      <c r="L16" s="45">
        <f t="shared" si="0"/>
        <v>1.4499999999999997</v>
      </c>
      <c r="M16" s="82">
        <v>1.1000000000000001</v>
      </c>
      <c r="N16" s="81">
        <v>0.38</v>
      </c>
      <c r="O16" s="82"/>
      <c r="T16" s="82"/>
    </row>
    <row r="17" spans="1:20" s="45" customFormat="1" x14ac:dyDescent="0.3">
      <c r="A17" s="45">
        <f t="shared" si="1"/>
        <v>15</v>
      </c>
      <c r="B17" s="82" t="s">
        <v>505</v>
      </c>
      <c r="C17" s="82" t="s">
        <v>684</v>
      </c>
      <c r="D17" s="83">
        <v>42767</v>
      </c>
      <c r="E17" s="84"/>
      <c r="F17" s="82">
        <v>1642963</v>
      </c>
      <c r="G17" s="82">
        <v>5295583</v>
      </c>
      <c r="H17" s="42" t="s">
        <v>13</v>
      </c>
      <c r="I17" s="82" t="s">
        <v>12</v>
      </c>
      <c r="J17" s="82">
        <v>1</v>
      </c>
      <c r="K17" s="81">
        <v>1.88</v>
      </c>
      <c r="L17" s="45">
        <f t="shared" si="0"/>
        <v>1.4</v>
      </c>
      <c r="M17" s="82">
        <v>1.1000000000000001</v>
      </c>
      <c r="N17" s="81">
        <v>0.38</v>
      </c>
      <c r="O17" s="82"/>
      <c r="T17" s="82"/>
    </row>
    <row r="18" spans="1:20" s="45" customFormat="1" x14ac:dyDescent="0.3">
      <c r="A18" s="45">
        <f t="shared" si="1"/>
        <v>16</v>
      </c>
      <c r="B18" s="82" t="s">
        <v>505</v>
      </c>
      <c r="C18" s="82" t="s">
        <v>684</v>
      </c>
      <c r="D18" s="83">
        <v>42767</v>
      </c>
      <c r="E18" s="84"/>
      <c r="F18" s="82">
        <v>1642963</v>
      </c>
      <c r="G18" s="82">
        <v>5295583</v>
      </c>
      <c r="H18" s="42" t="s">
        <v>13</v>
      </c>
      <c r="I18" s="82" t="s">
        <v>12</v>
      </c>
      <c r="J18" s="82">
        <v>1.1499999999999999</v>
      </c>
      <c r="K18" s="81">
        <v>1.88</v>
      </c>
      <c r="L18" s="45">
        <f t="shared" si="0"/>
        <v>1.5499999999999998</v>
      </c>
      <c r="M18" s="82">
        <v>1.1000000000000001</v>
      </c>
      <c r="N18" s="81">
        <v>0.38</v>
      </c>
      <c r="O18" s="82"/>
      <c r="T18" s="82"/>
    </row>
    <row r="19" spans="1:20" s="45" customFormat="1" x14ac:dyDescent="0.3">
      <c r="A19" s="45">
        <f t="shared" si="1"/>
        <v>17</v>
      </c>
      <c r="B19" s="82" t="s">
        <v>505</v>
      </c>
      <c r="C19" s="82" t="s">
        <v>684</v>
      </c>
      <c r="D19" s="83">
        <v>42767</v>
      </c>
      <c r="E19" s="84"/>
      <c r="F19" s="82">
        <v>1642963</v>
      </c>
      <c r="G19" s="82">
        <v>5295583</v>
      </c>
      <c r="H19" s="42" t="s">
        <v>13</v>
      </c>
      <c r="I19" s="82" t="s">
        <v>12</v>
      </c>
      <c r="J19" s="82">
        <v>1.2</v>
      </c>
      <c r="K19" s="81">
        <v>1.88</v>
      </c>
      <c r="L19" s="45">
        <f t="shared" si="0"/>
        <v>1.6</v>
      </c>
      <c r="M19" s="82">
        <v>1.1000000000000001</v>
      </c>
      <c r="N19" s="81">
        <v>0.38</v>
      </c>
      <c r="O19" s="82"/>
      <c r="T19" s="82"/>
    </row>
    <row r="20" spans="1:20" s="77" customFormat="1" x14ac:dyDescent="0.3">
      <c r="A20" s="77" t="s">
        <v>455</v>
      </c>
      <c r="B20" s="77" t="s">
        <v>473</v>
      </c>
      <c r="C20" s="82" t="s">
        <v>684</v>
      </c>
      <c r="D20" s="78">
        <v>42768</v>
      </c>
      <c r="E20" s="79">
        <v>0.73958333333333337</v>
      </c>
      <c r="F20" s="45">
        <v>1644124.8160000001</v>
      </c>
      <c r="G20" s="45">
        <v>5297640.449</v>
      </c>
      <c r="H20" s="42" t="s">
        <v>11</v>
      </c>
      <c r="I20" s="77" t="s">
        <v>12</v>
      </c>
      <c r="J20" s="77">
        <v>0.8</v>
      </c>
      <c r="K20" s="77">
        <v>1.75</v>
      </c>
      <c r="L20" s="45">
        <f t="shared" ref="L20:L36" si="2">SUM(J20:K20)-M20-N20</f>
        <v>1.1899999999999997</v>
      </c>
      <c r="M20" s="45">
        <v>1.1000000000000001</v>
      </c>
      <c r="N20" s="77">
        <v>0.26</v>
      </c>
      <c r="O20" s="53">
        <f>AVERAGE(L20:L47)</f>
        <v>1.272142857142857</v>
      </c>
      <c r="P20" s="80"/>
      <c r="Q20" s="53">
        <f>AVERAGE(L20:L47)</f>
        <v>1.272142857142857</v>
      </c>
      <c r="R20" s="53">
        <f>STDEVA(L20:L47)</f>
        <v>8.7785814379939542E-2</v>
      </c>
    </row>
    <row r="21" spans="1:20" s="77" customFormat="1" x14ac:dyDescent="0.3">
      <c r="A21" s="77" t="s">
        <v>457</v>
      </c>
      <c r="B21" s="77" t="s">
        <v>473</v>
      </c>
      <c r="C21" s="82" t="s">
        <v>684</v>
      </c>
      <c r="D21" s="78">
        <v>42768</v>
      </c>
      <c r="E21" s="79"/>
      <c r="F21" s="45">
        <v>1644124.8160000001</v>
      </c>
      <c r="G21" s="45">
        <v>5297640.449</v>
      </c>
      <c r="H21" s="42" t="s">
        <v>11</v>
      </c>
      <c r="I21" s="77" t="s">
        <v>12</v>
      </c>
      <c r="J21" s="77">
        <v>0.85</v>
      </c>
      <c r="K21" s="77">
        <v>1.75</v>
      </c>
      <c r="L21" s="45">
        <f t="shared" si="2"/>
        <v>1.24</v>
      </c>
      <c r="M21" s="45">
        <v>1.1000000000000001</v>
      </c>
      <c r="N21" s="77">
        <v>0.26</v>
      </c>
    </row>
    <row r="22" spans="1:20" s="77" customFormat="1" x14ac:dyDescent="0.3">
      <c r="A22" s="77" t="s">
        <v>458</v>
      </c>
      <c r="B22" s="77" t="s">
        <v>473</v>
      </c>
      <c r="C22" s="82" t="s">
        <v>684</v>
      </c>
      <c r="D22" s="78">
        <v>42768</v>
      </c>
      <c r="E22" s="79"/>
      <c r="F22" s="45">
        <v>1644124.8160000001</v>
      </c>
      <c r="G22" s="45">
        <v>5297640.449</v>
      </c>
      <c r="H22" s="42" t="s">
        <v>11</v>
      </c>
      <c r="I22" s="77" t="s">
        <v>12</v>
      </c>
      <c r="J22" s="77">
        <v>0.9</v>
      </c>
      <c r="K22" s="77">
        <v>1.75</v>
      </c>
      <c r="L22" s="45">
        <f t="shared" si="2"/>
        <v>1.2899999999999998</v>
      </c>
      <c r="M22" s="45">
        <v>1.1000000000000001</v>
      </c>
      <c r="N22" s="77">
        <v>0.26</v>
      </c>
    </row>
    <row r="23" spans="1:20" s="77" customFormat="1" x14ac:dyDescent="0.3">
      <c r="A23" s="77" t="s">
        <v>459</v>
      </c>
      <c r="B23" s="77" t="s">
        <v>473</v>
      </c>
      <c r="C23" s="82" t="s">
        <v>684</v>
      </c>
      <c r="D23" s="78">
        <v>42768</v>
      </c>
      <c r="E23" s="79"/>
      <c r="F23" s="45">
        <v>1644124.8160000001</v>
      </c>
      <c r="G23" s="45">
        <v>5297640.449</v>
      </c>
      <c r="H23" s="42" t="s">
        <v>11</v>
      </c>
      <c r="I23" s="77" t="s">
        <v>12</v>
      </c>
      <c r="J23" s="77">
        <v>0.9</v>
      </c>
      <c r="K23" s="77">
        <v>1.75</v>
      </c>
      <c r="L23" s="45">
        <f t="shared" si="2"/>
        <v>1.2899999999999998</v>
      </c>
      <c r="M23" s="45">
        <v>1.1000000000000001</v>
      </c>
      <c r="N23" s="77">
        <v>0.26</v>
      </c>
    </row>
    <row r="24" spans="1:20" s="77" customFormat="1" x14ac:dyDescent="0.3">
      <c r="A24" s="77" t="s">
        <v>460</v>
      </c>
      <c r="B24" s="77" t="s">
        <v>473</v>
      </c>
      <c r="C24" s="82" t="s">
        <v>684</v>
      </c>
      <c r="D24" s="78">
        <v>42768</v>
      </c>
      <c r="E24" s="79"/>
      <c r="F24" s="45">
        <v>1644124.8160000001</v>
      </c>
      <c r="G24" s="45">
        <v>5297640.449</v>
      </c>
      <c r="H24" s="42" t="s">
        <v>13</v>
      </c>
      <c r="I24" s="77" t="s">
        <v>456</v>
      </c>
      <c r="J24" s="77">
        <v>0.95</v>
      </c>
      <c r="K24" s="77">
        <v>1.75</v>
      </c>
      <c r="L24" s="45">
        <f t="shared" si="2"/>
        <v>1.2200000000000002</v>
      </c>
      <c r="M24" s="45">
        <v>1.1000000000000001</v>
      </c>
      <c r="N24" s="81">
        <v>0.38</v>
      </c>
    </row>
    <row r="25" spans="1:20" s="77" customFormat="1" x14ac:dyDescent="0.3">
      <c r="A25" s="77" t="s">
        <v>462</v>
      </c>
      <c r="B25" s="77" t="s">
        <v>473</v>
      </c>
      <c r="C25" s="82" t="s">
        <v>684</v>
      </c>
      <c r="D25" s="78">
        <v>42768</v>
      </c>
      <c r="E25" s="79"/>
      <c r="F25" s="45">
        <v>1644124.8160000001</v>
      </c>
      <c r="G25" s="45">
        <v>5297640.449</v>
      </c>
      <c r="H25" s="42" t="s">
        <v>11</v>
      </c>
      <c r="I25" s="77" t="s">
        <v>456</v>
      </c>
      <c r="J25" s="77">
        <v>1</v>
      </c>
      <c r="K25" s="77">
        <v>1.75</v>
      </c>
      <c r="L25" s="45">
        <f t="shared" si="2"/>
        <v>1.39</v>
      </c>
      <c r="M25" s="45">
        <v>1.1000000000000001</v>
      </c>
      <c r="N25" s="77">
        <v>0.26</v>
      </c>
    </row>
    <row r="26" spans="1:20" s="77" customFormat="1" x14ac:dyDescent="0.3">
      <c r="A26" s="77" t="s">
        <v>463</v>
      </c>
      <c r="B26" s="77" t="s">
        <v>473</v>
      </c>
      <c r="C26" s="82" t="s">
        <v>684</v>
      </c>
      <c r="D26" s="78">
        <v>42768</v>
      </c>
      <c r="E26" s="79"/>
      <c r="F26" s="45">
        <v>1644124.8160000001</v>
      </c>
      <c r="G26" s="45">
        <v>5297640.449</v>
      </c>
      <c r="H26" s="42" t="s">
        <v>11</v>
      </c>
      <c r="I26" s="77" t="s">
        <v>456</v>
      </c>
      <c r="J26" s="77">
        <v>0.95</v>
      </c>
      <c r="K26" s="77">
        <v>1.75</v>
      </c>
      <c r="L26" s="45">
        <f t="shared" si="2"/>
        <v>1.34</v>
      </c>
      <c r="M26" s="45">
        <v>1.1000000000000001</v>
      </c>
      <c r="N26" s="77">
        <v>0.26</v>
      </c>
    </row>
    <row r="27" spans="1:20" s="77" customFormat="1" x14ac:dyDescent="0.3">
      <c r="A27" s="77" t="s">
        <v>464</v>
      </c>
      <c r="B27" s="77" t="s">
        <v>473</v>
      </c>
      <c r="C27" s="82" t="s">
        <v>684</v>
      </c>
      <c r="D27" s="78">
        <v>42768</v>
      </c>
      <c r="E27" s="79"/>
      <c r="F27" s="45">
        <v>1644124.8160000001</v>
      </c>
      <c r="G27" s="45">
        <v>5297640.449</v>
      </c>
      <c r="H27" s="42" t="s">
        <v>13</v>
      </c>
      <c r="I27" s="77" t="s">
        <v>456</v>
      </c>
      <c r="J27" s="77">
        <v>0.95</v>
      </c>
      <c r="K27" s="77">
        <v>1.75</v>
      </c>
      <c r="L27" s="45">
        <f t="shared" si="2"/>
        <v>1.2200000000000002</v>
      </c>
      <c r="M27" s="45">
        <v>1.1000000000000001</v>
      </c>
      <c r="N27" s="81">
        <v>0.38</v>
      </c>
    </row>
    <row r="28" spans="1:20" s="77" customFormat="1" x14ac:dyDescent="0.3">
      <c r="A28" s="77" t="s">
        <v>465</v>
      </c>
      <c r="B28" s="77" t="s">
        <v>473</v>
      </c>
      <c r="C28" s="82" t="s">
        <v>684</v>
      </c>
      <c r="D28" s="78">
        <v>42768</v>
      </c>
      <c r="E28" s="79"/>
      <c r="F28" s="45">
        <v>1644124.8160000001</v>
      </c>
      <c r="G28" s="45">
        <v>5297640.449</v>
      </c>
      <c r="H28" s="42" t="s">
        <v>11</v>
      </c>
      <c r="I28" s="77" t="s">
        <v>456</v>
      </c>
      <c r="J28" s="77">
        <v>0.9</v>
      </c>
      <c r="K28" s="77">
        <v>1.75</v>
      </c>
      <c r="L28" s="45">
        <f t="shared" si="2"/>
        <v>1.2899999999999998</v>
      </c>
      <c r="M28" s="45">
        <v>1.1000000000000001</v>
      </c>
      <c r="N28" s="77">
        <v>0.26</v>
      </c>
    </row>
    <row r="29" spans="1:20" s="77" customFormat="1" x14ac:dyDescent="0.3">
      <c r="A29" s="77" t="s">
        <v>466</v>
      </c>
      <c r="B29" s="77" t="s">
        <v>473</v>
      </c>
      <c r="C29" s="82" t="s">
        <v>684</v>
      </c>
      <c r="D29" s="78">
        <v>42768</v>
      </c>
      <c r="E29" s="79"/>
      <c r="F29" s="45">
        <v>1644124.8160000001</v>
      </c>
      <c r="G29" s="45">
        <v>5297640.449</v>
      </c>
      <c r="H29" s="42" t="s">
        <v>13</v>
      </c>
      <c r="I29" s="77" t="s">
        <v>456</v>
      </c>
      <c r="J29" s="77">
        <v>0.8</v>
      </c>
      <c r="K29" s="77">
        <v>1.75</v>
      </c>
      <c r="L29" s="45">
        <f t="shared" si="2"/>
        <v>1.0699999999999998</v>
      </c>
      <c r="M29" s="45">
        <v>1.1000000000000001</v>
      </c>
      <c r="N29" s="81">
        <v>0.38</v>
      </c>
    </row>
    <row r="30" spans="1:20" s="77" customFormat="1" x14ac:dyDescent="0.3">
      <c r="A30" s="77" t="s">
        <v>467</v>
      </c>
      <c r="B30" s="77" t="s">
        <v>473</v>
      </c>
      <c r="C30" s="82" t="s">
        <v>684</v>
      </c>
      <c r="D30" s="78">
        <v>42768</v>
      </c>
      <c r="E30" s="79"/>
      <c r="F30" s="45">
        <v>1644124.8160000001</v>
      </c>
      <c r="G30" s="45">
        <v>5297640.449</v>
      </c>
      <c r="H30" s="42" t="s">
        <v>13</v>
      </c>
      <c r="I30" s="77" t="s">
        <v>456</v>
      </c>
      <c r="J30" s="77">
        <v>1</v>
      </c>
      <c r="K30" s="77">
        <v>1.75</v>
      </c>
      <c r="L30" s="45">
        <f t="shared" si="2"/>
        <v>1.27</v>
      </c>
      <c r="M30" s="45">
        <v>1.1000000000000001</v>
      </c>
      <c r="N30" s="81">
        <v>0.38</v>
      </c>
    </row>
    <row r="31" spans="1:20" s="77" customFormat="1" x14ac:dyDescent="0.3">
      <c r="A31" s="77" t="s">
        <v>468</v>
      </c>
      <c r="B31" s="77" t="s">
        <v>473</v>
      </c>
      <c r="C31" s="82" t="s">
        <v>684</v>
      </c>
      <c r="D31" s="78">
        <v>42768</v>
      </c>
      <c r="E31" s="79"/>
      <c r="F31" s="45">
        <v>1644124.8160000001</v>
      </c>
      <c r="G31" s="45">
        <v>5297640.449</v>
      </c>
      <c r="H31" s="42" t="s">
        <v>11</v>
      </c>
      <c r="I31" s="77" t="s">
        <v>12</v>
      </c>
      <c r="J31" s="77">
        <v>0.85</v>
      </c>
      <c r="K31" s="77">
        <v>1.75</v>
      </c>
      <c r="L31" s="45">
        <f t="shared" si="2"/>
        <v>1.24</v>
      </c>
      <c r="M31" s="45">
        <v>1.1000000000000001</v>
      </c>
      <c r="N31" s="77">
        <v>0.26</v>
      </c>
    </row>
    <row r="32" spans="1:20" s="77" customFormat="1" x14ac:dyDescent="0.3">
      <c r="A32" s="77" t="s">
        <v>469</v>
      </c>
      <c r="B32" s="77" t="s">
        <v>473</v>
      </c>
      <c r="C32" s="82" t="s">
        <v>684</v>
      </c>
      <c r="D32" s="78">
        <v>42768</v>
      </c>
      <c r="E32" s="79"/>
      <c r="F32" s="45">
        <v>1644124.8160000001</v>
      </c>
      <c r="G32" s="45">
        <v>5297640.449</v>
      </c>
      <c r="H32" s="42" t="s">
        <v>11</v>
      </c>
      <c r="I32" s="77" t="s">
        <v>12</v>
      </c>
      <c r="J32" s="77">
        <v>0.85</v>
      </c>
      <c r="K32" s="77">
        <v>1.75</v>
      </c>
      <c r="L32" s="45">
        <f t="shared" si="2"/>
        <v>1.24</v>
      </c>
      <c r="M32" s="45">
        <v>1.1000000000000001</v>
      </c>
      <c r="N32" s="77">
        <v>0.26</v>
      </c>
    </row>
    <row r="33" spans="1:18" s="77" customFormat="1" x14ac:dyDescent="0.3">
      <c r="A33" s="77" t="s">
        <v>470</v>
      </c>
      <c r="B33" s="77" t="s">
        <v>473</v>
      </c>
      <c r="C33" s="82" t="s">
        <v>684</v>
      </c>
      <c r="D33" s="78">
        <v>42768</v>
      </c>
      <c r="E33" s="79"/>
      <c r="F33" s="45">
        <v>1644124.8160000001</v>
      </c>
      <c r="G33" s="45">
        <v>5297640.449</v>
      </c>
      <c r="H33" s="42" t="s">
        <v>11</v>
      </c>
      <c r="I33" s="77" t="s">
        <v>12</v>
      </c>
      <c r="J33" s="77">
        <v>1</v>
      </c>
      <c r="K33" s="77">
        <v>1.75</v>
      </c>
      <c r="L33" s="45">
        <f t="shared" si="2"/>
        <v>1.39</v>
      </c>
      <c r="M33" s="45">
        <v>1.1000000000000001</v>
      </c>
      <c r="N33" s="77">
        <v>0.26</v>
      </c>
    </row>
    <row r="34" spans="1:18" s="77" customFormat="1" x14ac:dyDescent="0.3">
      <c r="A34" s="77" t="s">
        <v>471</v>
      </c>
      <c r="B34" s="77" t="s">
        <v>473</v>
      </c>
      <c r="C34" s="82" t="s">
        <v>684</v>
      </c>
      <c r="D34" s="78">
        <v>42768</v>
      </c>
      <c r="E34" s="79"/>
      <c r="F34" s="45">
        <v>1644124.8160000001</v>
      </c>
      <c r="G34" s="45">
        <v>5297640.449</v>
      </c>
      <c r="H34" s="42" t="s">
        <v>13</v>
      </c>
      <c r="I34" s="77" t="s">
        <v>12</v>
      </c>
      <c r="J34" s="77">
        <v>0.95</v>
      </c>
      <c r="K34" s="77">
        <v>1.75</v>
      </c>
      <c r="L34" s="45">
        <f t="shared" si="2"/>
        <v>1.2200000000000002</v>
      </c>
      <c r="M34" s="45">
        <v>1.1000000000000001</v>
      </c>
      <c r="N34" s="81">
        <v>0.38</v>
      </c>
    </row>
    <row r="35" spans="1:18" s="77" customFormat="1" x14ac:dyDescent="0.3">
      <c r="A35" s="77" t="s">
        <v>472</v>
      </c>
      <c r="B35" s="77" t="s">
        <v>473</v>
      </c>
      <c r="C35" s="82" t="s">
        <v>684</v>
      </c>
      <c r="D35" s="78">
        <v>42768</v>
      </c>
      <c r="E35" s="79"/>
      <c r="F35" s="45">
        <v>1644124.8160000001</v>
      </c>
      <c r="G35" s="45">
        <v>5297640.449</v>
      </c>
      <c r="H35" s="42" t="s">
        <v>11</v>
      </c>
      <c r="I35" s="77" t="s">
        <v>12</v>
      </c>
      <c r="J35" s="77">
        <v>0.95</v>
      </c>
      <c r="K35" s="77">
        <v>1.75</v>
      </c>
      <c r="L35" s="45">
        <f t="shared" si="2"/>
        <v>1.34</v>
      </c>
      <c r="M35" s="45">
        <v>1.1000000000000001</v>
      </c>
      <c r="N35" s="77">
        <v>0.26</v>
      </c>
    </row>
    <row r="36" spans="1:18" s="77" customFormat="1" x14ac:dyDescent="0.3">
      <c r="A36" s="77" t="s">
        <v>474</v>
      </c>
      <c r="B36" s="77" t="s">
        <v>473</v>
      </c>
      <c r="C36" s="82" t="s">
        <v>684</v>
      </c>
      <c r="D36" s="78">
        <v>42768</v>
      </c>
      <c r="E36" s="79"/>
      <c r="F36" s="45">
        <v>1644124.8160000001</v>
      </c>
      <c r="G36" s="45">
        <v>5297640.449</v>
      </c>
      <c r="H36" s="42" t="s">
        <v>13</v>
      </c>
      <c r="I36" s="77" t="s">
        <v>12</v>
      </c>
      <c r="J36" s="77">
        <v>1.05</v>
      </c>
      <c r="K36" s="77">
        <v>1.75</v>
      </c>
      <c r="L36" s="45">
        <f t="shared" si="2"/>
        <v>1.3199999999999998</v>
      </c>
      <c r="M36" s="45">
        <v>1.1000000000000001</v>
      </c>
      <c r="N36" s="81">
        <v>0.38</v>
      </c>
    </row>
    <row r="37" spans="1:18" s="77" customFormat="1" x14ac:dyDescent="0.3">
      <c r="A37" s="77" t="s">
        <v>475</v>
      </c>
      <c r="B37" s="77" t="s">
        <v>473</v>
      </c>
      <c r="C37" s="82" t="s">
        <v>684</v>
      </c>
      <c r="D37" s="78">
        <v>42768</v>
      </c>
      <c r="E37" s="79"/>
      <c r="F37" s="45">
        <v>1644124.8160000001</v>
      </c>
      <c r="G37" s="45">
        <v>5297640.449</v>
      </c>
      <c r="H37" s="42" t="s">
        <v>11</v>
      </c>
      <c r="I37" s="77" t="s">
        <v>12</v>
      </c>
      <c r="J37" s="77">
        <v>1</v>
      </c>
      <c r="K37" s="77">
        <v>1.75</v>
      </c>
      <c r="L37" s="45">
        <f t="shared" ref="L37:L100" si="3">SUM(J37:K37)-M37-N37</f>
        <v>1.39</v>
      </c>
      <c r="M37" s="45">
        <v>1.1000000000000001</v>
      </c>
      <c r="N37" s="77">
        <v>0.26</v>
      </c>
    </row>
    <row r="38" spans="1:18" s="77" customFormat="1" x14ac:dyDescent="0.3">
      <c r="A38" s="77" t="s">
        <v>476</v>
      </c>
      <c r="B38" s="77" t="s">
        <v>473</v>
      </c>
      <c r="C38" s="82" t="s">
        <v>684</v>
      </c>
      <c r="D38" s="78">
        <v>42768</v>
      </c>
      <c r="E38" s="79"/>
      <c r="F38" s="45">
        <v>1644124.8160000001</v>
      </c>
      <c r="G38" s="45">
        <v>5297640.449</v>
      </c>
      <c r="H38" s="42" t="s">
        <v>11</v>
      </c>
      <c r="I38" s="77" t="s">
        <v>12</v>
      </c>
      <c r="J38" s="77">
        <v>1</v>
      </c>
      <c r="K38" s="77">
        <v>1.75</v>
      </c>
      <c r="L38" s="45">
        <f t="shared" si="3"/>
        <v>1.39</v>
      </c>
      <c r="M38" s="45">
        <v>1.1000000000000001</v>
      </c>
      <c r="N38" s="77">
        <v>0.26</v>
      </c>
    </row>
    <row r="39" spans="1:18" s="77" customFormat="1" x14ac:dyDescent="0.3">
      <c r="A39" s="77" t="s">
        <v>477</v>
      </c>
      <c r="B39" s="77" t="s">
        <v>473</v>
      </c>
      <c r="C39" s="82" t="s">
        <v>684</v>
      </c>
      <c r="D39" s="78">
        <v>42768</v>
      </c>
      <c r="E39" s="79"/>
      <c r="F39" s="45">
        <v>1644124.8160000001</v>
      </c>
      <c r="G39" s="45">
        <v>5297640.449</v>
      </c>
      <c r="H39" s="42" t="s">
        <v>13</v>
      </c>
      <c r="I39" s="77" t="s">
        <v>12</v>
      </c>
      <c r="J39" s="77">
        <v>0.9</v>
      </c>
      <c r="K39" s="77">
        <v>1.75</v>
      </c>
      <c r="L39" s="45">
        <f t="shared" si="3"/>
        <v>1.17</v>
      </c>
      <c r="M39" s="45">
        <v>1.1000000000000001</v>
      </c>
      <c r="N39" s="81">
        <v>0.38</v>
      </c>
    </row>
    <row r="40" spans="1:18" s="77" customFormat="1" x14ac:dyDescent="0.3">
      <c r="A40" s="77" t="s">
        <v>478</v>
      </c>
      <c r="B40" s="77" t="s">
        <v>473</v>
      </c>
      <c r="C40" s="82" t="s">
        <v>684</v>
      </c>
      <c r="D40" s="78">
        <v>42768</v>
      </c>
      <c r="E40" s="79"/>
      <c r="F40" s="45">
        <v>1644124.8160000001</v>
      </c>
      <c r="G40" s="45">
        <v>5297640.449</v>
      </c>
      <c r="H40" s="42" t="s">
        <v>13</v>
      </c>
      <c r="I40" s="77" t="s">
        <v>12</v>
      </c>
      <c r="J40" s="77">
        <v>0.95</v>
      </c>
      <c r="K40" s="77">
        <v>1.75</v>
      </c>
      <c r="L40" s="45">
        <f t="shared" si="3"/>
        <v>1.2200000000000002</v>
      </c>
      <c r="M40" s="45">
        <v>1.1000000000000001</v>
      </c>
      <c r="N40" s="81">
        <v>0.38</v>
      </c>
    </row>
    <row r="41" spans="1:18" s="77" customFormat="1" x14ac:dyDescent="0.3">
      <c r="A41" s="77" t="s">
        <v>479</v>
      </c>
      <c r="B41" s="77" t="s">
        <v>473</v>
      </c>
      <c r="C41" s="82" t="s">
        <v>684</v>
      </c>
      <c r="D41" s="78">
        <v>42768</v>
      </c>
      <c r="E41" s="79"/>
      <c r="F41" s="45">
        <v>1644124.8160000001</v>
      </c>
      <c r="G41" s="45">
        <v>5297640.449</v>
      </c>
      <c r="H41" s="42" t="s">
        <v>11</v>
      </c>
      <c r="I41" s="77" t="s">
        <v>12</v>
      </c>
      <c r="J41" s="77">
        <v>1</v>
      </c>
      <c r="K41" s="77">
        <v>1.75</v>
      </c>
      <c r="L41" s="45">
        <f t="shared" si="3"/>
        <v>1.39</v>
      </c>
      <c r="M41" s="45">
        <v>1.1000000000000001</v>
      </c>
      <c r="N41" s="77">
        <v>0.26</v>
      </c>
    </row>
    <row r="42" spans="1:18" s="77" customFormat="1" x14ac:dyDescent="0.3">
      <c r="A42" s="77" t="s">
        <v>480</v>
      </c>
      <c r="B42" s="77" t="s">
        <v>473</v>
      </c>
      <c r="C42" s="82" t="s">
        <v>684</v>
      </c>
      <c r="D42" s="78">
        <v>42768</v>
      </c>
      <c r="E42" s="79"/>
      <c r="F42" s="45">
        <v>1644124.8160000001</v>
      </c>
      <c r="G42" s="45">
        <v>5297640.449</v>
      </c>
      <c r="H42" s="42" t="s">
        <v>11</v>
      </c>
      <c r="I42" s="77" t="s">
        <v>12</v>
      </c>
      <c r="J42" s="77">
        <v>0.95</v>
      </c>
      <c r="K42" s="77">
        <v>1.75</v>
      </c>
      <c r="L42" s="45">
        <f t="shared" si="3"/>
        <v>1.34</v>
      </c>
      <c r="M42" s="45">
        <v>1.1000000000000001</v>
      </c>
      <c r="N42" s="77">
        <v>0.26</v>
      </c>
    </row>
    <row r="43" spans="1:18" s="77" customFormat="1" x14ac:dyDescent="0.3">
      <c r="A43" s="77" t="s">
        <v>481</v>
      </c>
      <c r="B43" s="77" t="s">
        <v>473</v>
      </c>
      <c r="C43" s="82" t="s">
        <v>684</v>
      </c>
      <c r="D43" s="78">
        <v>42768</v>
      </c>
      <c r="E43" s="79"/>
      <c r="F43" s="45">
        <v>1644124.8160000001</v>
      </c>
      <c r="G43" s="45">
        <v>5297640.449</v>
      </c>
      <c r="H43" s="42" t="s">
        <v>11</v>
      </c>
      <c r="I43" s="77" t="s">
        <v>12</v>
      </c>
      <c r="J43" s="77">
        <v>1</v>
      </c>
      <c r="K43" s="77">
        <v>1.75</v>
      </c>
      <c r="L43" s="45">
        <f t="shared" si="3"/>
        <v>1.39</v>
      </c>
      <c r="M43" s="45">
        <v>1.1000000000000001</v>
      </c>
      <c r="N43" s="77">
        <v>0.26</v>
      </c>
    </row>
    <row r="44" spans="1:18" s="77" customFormat="1" x14ac:dyDescent="0.3">
      <c r="A44" s="77" t="s">
        <v>482</v>
      </c>
      <c r="B44" s="77" t="s">
        <v>473</v>
      </c>
      <c r="C44" s="82" t="s">
        <v>684</v>
      </c>
      <c r="D44" s="78">
        <v>42768</v>
      </c>
      <c r="E44" s="79"/>
      <c r="F44" s="45">
        <v>1644124.8160000001</v>
      </c>
      <c r="G44" s="45">
        <v>5297640.449</v>
      </c>
      <c r="H44" s="42" t="s">
        <v>11</v>
      </c>
      <c r="I44" s="77" t="s">
        <v>12</v>
      </c>
      <c r="J44" s="77">
        <v>0.85</v>
      </c>
      <c r="K44" s="77">
        <v>1.75</v>
      </c>
      <c r="L44" s="45">
        <f t="shared" si="3"/>
        <v>1.24</v>
      </c>
      <c r="M44" s="45">
        <v>1.1000000000000001</v>
      </c>
      <c r="N44" s="77">
        <v>0.26</v>
      </c>
    </row>
    <row r="45" spans="1:18" s="77" customFormat="1" x14ac:dyDescent="0.3">
      <c r="A45" s="77" t="s">
        <v>483</v>
      </c>
      <c r="B45" s="77" t="s">
        <v>473</v>
      </c>
      <c r="C45" s="82" t="s">
        <v>684</v>
      </c>
      <c r="D45" s="78">
        <v>42768</v>
      </c>
      <c r="E45" s="79"/>
      <c r="F45" s="45">
        <v>1644124.8160000001</v>
      </c>
      <c r="G45" s="45">
        <v>5297640.449</v>
      </c>
      <c r="H45" s="42" t="s">
        <v>11</v>
      </c>
      <c r="I45" s="77" t="s">
        <v>12</v>
      </c>
      <c r="J45" s="77">
        <v>0.85</v>
      </c>
      <c r="K45" s="77">
        <v>1.75</v>
      </c>
      <c r="L45" s="45">
        <f t="shared" si="3"/>
        <v>1.24</v>
      </c>
      <c r="M45" s="45">
        <v>1.1000000000000001</v>
      </c>
      <c r="N45" s="77">
        <v>0.26</v>
      </c>
    </row>
    <row r="46" spans="1:18" s="77" customFormat="1" x14ac:dyDescent="0.3">
      <c r="A46" s="77" t="s">
        <v>484</v>
      </c>
      <c r="B46" s="77" t="s">
        <v>473</v>
      </c>
      <c r="C46" s="82" t="s">
        <v>684</v>
      </c>
      <c r="D46" s="78">
        <v>42768</v>
      </c>
      <c r="E46" s="79"/>
      <c r="F46" s="45">
        <v>1644124.8160000001</v>
      </c>
      <c r="G46" s="45">
        <v>5297640.449</v>
      </c>
      <c r="H46" s="42" t="s">
        <v>13</v>
      </c>
      <c r="I46" s="77" t="s">
        <v>12</v>
      </c>
      <c r="J46" s="77">
        <v>0.85</v>
      </c>
      <c r="K46" s="77">
        <v>1.75</v>
      </c>
      <c r="L46" s="45">
        <f t="shared" si="3"/>
        <v>1.1200000000000001</v>
      </c>
      <c r="M46" s="45">
        <v>1.1000000000000001</v>
      </c>
      <c r="N46" s="81">
        <v>0.38</v>
      </c>
    </row>
    <row r="47" spans="1:18" s="77" customFormat="1" x14ac:dyDescent="0.3">
      <c r="A47" s="77" t="s">
        <v>485</v>
      </c>
      <c r="B47" s="77" t="s">
        <v>473</v>
      </c>
      <c r="C47" s="82" t="s">
        <v>684</v>
      </c>
      <c r="D47" s="78">
        <v>42768</v>
      </c>
      <c r="E47" s="79">
        <v>0.75</v>
      </c>
      <c r="F47" s="45">
        <v>1644124.8160000001</v>
      </c>
      <c r="G47" s="45">
        <v>5297640.449</v>
      </c>
      <c r="H47" s="42" t="s">
        <v>13</v>
      </c>
      <c r="I47" s="77" t="s">
        <v>12</v>
      </c>
      <c r="J47" s="77">
        <v>0.9</v>
      </c>
      <c r="K47" s="77">
        <v>1.75</v>
      </c>
      <c r="L47" s="45">
        <f t="shared" si="3"/>
        <v>1.17</v>
      </c>
      <c r="M47" s="45">
        <v>1.1000000000000001</v>
      </c>
      <c r="N47" s="81">
        <v>0.38</v>
      </c>
    </row>
    <row r="48" spans="1:18" s="77" customFormat="1" x14ac:dyDescent="0.3">
      <c r="A48" s="77" t="s">
        <v>455</v>
      </c>
      <c r="B48" s="77" t="s">
        <v>486</v>
      </c>
      <c r="C48" s="82" t="s">
        <v>684</v>
      </c>
      <c r="D48" s="78">
        <v>42768</v>
      </c>
      <c r="E48" s="79">
        <v>0.75694444444444453</v>
      </c>
      <c r="F48" s="45">
        <v>1644122.412</v>
      </c>
      <c r="G48" s="45">
        <v>5297749.9289999995</v>
      </c>
      <c r="H48" s="42" t="s">
        <v>11</v>
      </c>
      <c r="I48" s="77" t="s">
        <v>12</v>
      </c>
      <c r="J48" s="77">
        <v>0.7</v>
      </c>
      <c r="K48" s="77">
        <v>1.853</v>
      </c>
      <c r="L48" s="45">
        <f t="shared" si="3"/>
        <v>1.1929999999999998</v>
      </c>
      <c r="M48" s="45">
        <v>1.1000000000000001</v>
      </c>
      <c r="N48" s="77">
        <v>0.26</v>
      </c>
      <c r="O48" s="53">
        <f>AVERAGE(L48:L67)</f>
        <v>1.2334999999999998</v>
      </c>
      <c r="P48" s="80"/>
      <c r="Q48" s="53">
        <f>AVERAGE(L48:L67)</f>
        <v>1.2334999999999998</v>
      </c>
      <c r="R48" s="53">
        <f>STDEVA(L48:L67)</f>
        <v>9.30463947659841E-2</v>
      </c>
    </row>
    <row r="49" spans="1:14" s="77" customFormat="1" x14ac:dyDescent="0.3">
      <c r="A49" s="77" t="s">
        <v>457</v>
      </c>
      <c r="B49" s="77" t="s">
        <v>486</v>
      </c>
      <c r="C49" s="82" t="s">
        <v>684</v>
      </c>
      <c r="D49" s="78">
        <v>42768</v>
      </c>
      <c r="E49" s="79"/>
      <c r="F49" s="45">
        <v>1644122.412</v>
      </c>
      <c r="G49" s="45">
        <v>5297749.9289999995</v>
      </c>
      <c r="H49" s="42" t="s">
        <v>11</v>
      </c>
      <c r="I49" s="77" t="s">
        <v>12</v>
      </c>
      <c r="J49" s="77">
        <v>0.7</v>
      </c>
      <c r="K49" s="77">
        <v>1.853</v>
      </c>
      <c r="L49" s="45">
        <f t="shared" si="3"/>
        <v>1.1929999999999998</v>
      </c>
      <c r="M49" s="45">
        <v>1.1000000000000001</v>
      </c>
      <c r="N49" s="77">
        <v>0.26</v>
      </c>
    </row>
    <row r="50" spans="1:14" s="77" customFormat="1" x14ac:dyDescent="0.3">
      <c r="A50" s="77" t="s">
        <v>458</v>
      </c>
      <c r="B50" s="77" t="s">
        <v>486</v>
      </c>
      <c r="C50" s="82" t="s">
        <v>684</v>
      </c>
      <c r="D50" s="78">
        <v>42768</v>
      </c>
      <c r="E50" s="79"/>
      <c r="F50" s="45">
        <v>1644122.412</v>
      </c>
      <c r="G50" s="45">
        <v>5297749.9289999995</v>
      </c>
      <c r="H50" s="42" t="s">
        <v>11</v>
      </c>
      <c r="I50" s="77" t="s">
        <v>12</v>
      </c>
      <c r="J50" s="77">
        <v>0.7</v>
      </c>
      <c r="K50" s="77">
        <v>1.853</v>
      </c>
      <c r="L50" s="45">
        <f t="shared" si="3"/>
        <v>1.1929999999999998</v>
      </c>
      <c r="M50" s="45">
        <v>1.1000000000000001</v>
      </c>
      <c r="N50" s="77">
        <v>0.26</v>
      </c>
    </row>
    <row r="51" spans="1:14" s="77" customFormat="1" x14ac:dyDescent="0.3">
      <c r="A51" s="77" t="s">
        <v>459</v>
      </c>
      <c r="B51" s="77" t="s">
        <v>486</v>
      </c>
      <c r="C51" s="82" t="s">
        <v>684</v>
      </c>
      <c r="D51" s="78">
        <v>42768</v>
      </c>
      <c r="E51" s="79"/>
      <c r="F51" s="45">
        <v>1644122.412</v>
      </c>
      <c r="G51" s="45">
        <v>5297749.9289999995</v>
      </c>
      <c r="H51" s="42" t="s">
        <v>13</v>
      </c>
      <c r="I51" s="77" t="s">
        <v>12</v>
      </c>
      <c r="J51" s="77">
        <v>0.8</v>
      </c>
      <c r="K51" s="77">
        <v>1.853</v>
      </c>
      <c r="L51" s="45">
        <f t="shared" si="3"/>
        <v>1.173</v>
      </c>
      <c r="M51" s="45">
        <v>1.1000000000000001</v>
      </c>
      <c r="N51" s="81">
        <v>0.38</v>
      </c>
    </row>
    <row r="52" spans="1:14" s="77" customFormat="1" x14ac:dyDescent="0.3">
      <c r="A52" s="77" t="s">
        <v>460</v>
      </c>
      <c r="B52" s="77" t="s">
        <v>486</v>
      </c>
      <c r="C52" s="82" t="s">
        <v>684</v>
      </c>
      <c r="D52" s="78">
        <v>42768</v>
      </c>
      <c r="E52" s="79"/>
      <c r="F52" s="45">
        <v>1644122.412</v>
      </c>
      <c r="G52" s="45">
        <v>5297749.9289999995</v>
      </c>
      <c r="H52" s="42" t="s">
        <v>11</v>
      </c>
      <c r="I52" s="77" t="s">
        <v>12</v>
      </c>
      <c r="J52" s="77">
        <v>0.8</v>
      </c>
      <c r="K52" s="77">
        <v>1.853</v>
      </c>
      <c r="L52" s="45">
        <f t="shared" si="3"/>
        <v>1.2929999999999999</v>
      </c>
      <c r="M52" s="45">
        <v>1.1000000000000001</v>
      </c>
      <c r="N52" s="77">
        <v>0.26</v>
      </c>
    </row>
    <row r="53" spans="1:14" s="77" customFormat="1" x14ac:dyDescent="0.3">
      <c r="A53" s="77" t="s">
        <v>462</v>
      </c>
      <c r="B53" s="77" t="s">
        <v>486</v>
      </c>
      <c r="C53" s="82" t="s">
        <v>684</v>
      </c>
      <c r="D53" s="78">
        <v>42768</v>
      </c>
      <c r="E53" s="79"/>
      <c r="F53" s="45">
        <v>1644122.412</v>
      </c>
      <c r="G53" s="45">
        <v>5297749.9289999995</v>
      </c>
      <c r="H53" s="42" t="s">
        <v>13</v>
      </c>
      <c r="I53" s="77" t="s">
        <v>12</v>
      </c>
      <c r="J53" s="77">
        <v>0.8</v>
      </c>
      <c r="K53" s="77">
        <v>1.853</v>
      </c>
      <c r="L53" s="45">
        <f t="shared" si="3"/>
        <v>1.173</v>
      </c>
      <c r="M53" s="45">
        <v>1.1000000000000001</v>
      </c>
      <c r="N53" s="81">
        <v>0.38</v>
      </c>
    </row>
    <row r="54" spans="1:14" s="77" customFormat="1" x14ac:dyDescent="0.3">
      <c r="A54" s="77" t="s">
        <v>463</v>
      </c>
      <c r="B54" s="77" t="s">
        <v>486</v>
      </c>
      <c r="C54" s="82" t="s">
        <v>684</v>
      </c>
      <c r="D54" s="78">
        <v>42768</v>
      </c>
      <c r="E54" s="79"/>
      <c r="F54" s="45">
        <v>1644122.412</v>
      </c>
      <c r="G54" s="45">
        <v>5297749.9289999995</v>
      </c>
      <c r="H54" s="42" t="s">
        <v>11</v>
      </c>
      <c r="I54" s="77" t="s">
        <v>12</v>
      </c>
      <c r="J54" s="77">
        <v>0.8</v>
      </c>
      <c r="K54" s="77">
        <v>1.853</v>
      </c>
      <c r="L54" s="45">
        <f t="shared" si="3"/>
        <v>1.2929999999999999</v>
      </c>
      <c r="M54" s="45">
        <v>1.1000000000000001</v>
      </c>
      <c r="N54" s="77">
        <v>0.26</v>
      </c>
    </row>
    <row r="55" spans="1:14" s="77" customFormat="1" x14ac:dyDescent="0.3">
      <c r="A55" s="77" t="s">
        <v>464</v>
      </c>
      <c r="B55" s="77" t="s">
        <v>486</v>
      </c>
      <c r="C55" s="82" t="s">
        <v>684</v>
      </c>
      <c r="D55" s="78">
        <v>42768</v>
      </c>
      <c r="E55" s="79"/>
      <c r="F55" s="45">
        <v>1644122.412</v>
      </c>
      <c r="G55" s="45">
        <v>5297749.9289999995</v>
      </c>
      <c r="H55" s="42" t="s">
        <v>11</v>
      </c>
      <c r="I55" s="77" t="s">
        <v>12</v>
      </c>
      <c r="J55" s="77">
        <v>0.75</v>
      </c>
      <c r="K55" s="77">
        <v>1.853</v>
      </c>
      <c r="L55" s="45">
        <f t="shared" si="3"/>
        <v>1.2429999999999997</v>
      </c>
      <c r="M55" s="45">
        <v>1.1000000000000001</v>
      </c>
      <c r="N55" s="77">
        <v>0.26</v>
      </c>
    </row>
    <row r="56" spans="1:14" s="77" customFormat="1" x14ac:dyDescent="0.3">
      <c r="A56" s="77" t="s">
        <v>465</v>
      </c>
      <c r="B56" s="77" t="s">
        <v>486</v>
      </c>
      <c r="C56" s="82" t="s">
        <v>684</v>
      </c>
      <c r="D56" s="78">
        <v>42768</v>
      </c>
      <c r="E56" s="79"/>
      <c r="F56" s="45">
        <v>1644122.412</v>
      </c>
      <c r="G56" s="45">
        <v>5297749.9289999995</v>
      </c>
      <c r="H56" s="42" t="s">
        <v>11</v>
      </c>
      <c r="I56" s="77" t="s">
        <v>12</v>
      </c>
      <c r="J56" s="77">
        <v>0.75</v>
      </c>
      <c r="K56" s="77">
        <v>1.853</v>
      </c>
      <c r="L56" s="45">
        <f t="shared" si="3"/>
        <v>1.2429999999999997</v>
      </c>
      <c r="M56" s="45">
        <v>1.1000000000000001</v>
      </c>
      <c r="N56" s="77">
        <v>0.26</v>
      </c>
    </row>
    <row r="57" spans="1:14" s="77" customFormat="1" x14ac:dyDescent="0.3">
      <c r="A57" s="77" t="s">
        <v>466</v>
      </c>
      <c r="B57" s="77" t="s">
        <v>486</v>
      </c>
      <c r="C57" s="82" t="s">
        <v>684</v>
      </c>
      <c r="D57" s="78">
        <v>42768</v>
      </c>
      <c r="E57" s="79"/>
      <c r="F57" s="45">
        <v>1644122.412</v>
      </c>
      <c r="G57" s="45">
        <v>5297749.9289999995</v>
      </c>
      <c r="H57" s="42" t="s">
        <v>13</v>
      </c>
      <c r="I57" s="77" t="s">
        <v>12</v>
      </c>
      <c r="J57" s="77">
        <v>0.8</v>
      </c>
      <c r="K57" s="77">
        <v>1.853</v>
      </c>
      <c r="L57" s="45">
        <f t="shared" si="3"/>
        <v>1.173</v>
      </c>
      <c r="M57" s="45">
        <v>1.1000000000000001</v>
      </c>
      <c r="N57" s="81">
        <v>0.38</v>
      </c>
    </row>
    <row r="58" spans="1:14" s="77" customFormat="1" x14ac:dyDescent="0.3">
      <c r="A58" s="77" t="s">
        <v>467</v>
      </c>
      <c r="B58" s="77" t="s">
        <v>486</v>
      </c>
      <c r="C58" s="82" t="s">
        <v>684</v>
      </c>
      <c r="D58" s="78">
        <v>42768</v>
      </c>
      <c r="E58" s="79"/>
      <c r="F58" s="45">
        <v>1644122.412</v>
      </c>
      <c r="G58" s="45">
        <v>5297749.9289999995</v>
      </c>
      <c r="H58" s="42" t="s">
        <v>11</v>
      </c>
      <c r="I58" s="77" t="s">
        <v>456</v>
      </c>
      <c r="J58" s="77">
        <v>1</v>
      </c>
      <c r="K58" s="77">
        <v>1.853</v>
      </c>
      <c r="L58" s="45">
        <f t="shared" si="3"/>
        <v>1.4929999999999997</v>
      </c>
      <c r="M58" s="45">
        <v>1.1000000000000001</v>
      </c>
      <c r="N58" s="77">
        <v>0.26</v>
      </c>
    </row>
    <row r="59" spans="1:14" s="77" customFormat="1" x14ac:dyDescent="0.3">
      <c r="A59" s="77" t="s">
        <v>468</v>
      </c>
      <c r="B59" s="77" t="s">
        <v>486</v>
      </c>
      <c r="C59" s="82" t="s">
        <v>684</v>
      </c>
      <c r="D59" s="78">
        <v>42768</v>
      </c>
      <c r="E59" s="79"/>
      <c r="F59" s="45">
        <v>1644122.412</v>
      </c>
      <c r="G59" s="45">
        <v>5297749.9289999995</v>
      </c>
      <c r="H59" s="42" t="s">
        <v>13</v>
      </c>
      <c r="I59" s="77" t="s">
        <v>12</v>
      </c>
      <c r="J59" s="77">
        <v>0.65</v>
      </c>
      <c r="K59" s="77">
        <v>1.853</v>
      </c>
      <c r="L59" s="45">
        <f t="shared" si="3"/>
        <v>1.0230000000000001</v>
      </c>
      <c r="M59" s="45">
        <v>1.1000000000000001</v>
      </c>
      <c r="N59" s="81">
        <v>0.38</v>
      </c>
    </row>
    <row r="60" spans="1:14" s="77" customFormat="1" x14ac:dyDescent="0.3">
      <c r="A60" s="77" t="s">
        <v>469</v>
      </c>
      <c r="B60" s="77" t="s">
        <v>486</v>
      </c>
      <c r="C60" s="82" t="s">
        <v>684</v>
      </c>
      <c r="D60" s="78">
        <v>42768</v>
      </c>
      <c r="E60" s="79"/>
      <c r="F60" s="45">
        <v>1644122.412</v>
      </c>
      <c r="G60" s="45">
        <v>5297749.9289999995</v>
      </c>
      <c r="H60" s="42" t="s">
        <v>11</v>
      </c>
      <c r="I60" s="77" t="s">
        <v>12</v>
      </c>
      <c r="J60" s="77">
        <v>0.8</v>
      </c>
      <c r="K60" s="77">
        <v>1.853</v>
      </c>
      <c r="L60" s="45">
        <f t="shared" si="3"/>
        <v>1.2929999999999999</v>
      </c>
      <c r="M60" s="45">
        <v>1.1000000000000001</v>
      </c>
      <c r="N60" s="77">
        <v>0.26</v>
      </c>
    </row>
    <row r="61" spans="1:14" s="77" customFormat="1" x14ac:dyDescent="0.3">
      <c r="A61" s="77" t="s">
        <v>470</v>
      </c>
      <c r="B61" s="77" t="s">
        <v>486</v>
      </c>
      <c r="C61" s="82" t="s">
        <v>684</v>
      </c>
      <c r="D61" s="78">
        <v>42768</v>
      </c>
      <c r="E61" s="79"/>
      <c r="F61" s="45">
        <v>1644122.412</v>
      </c>
      <c r="G61" s="45">
        <v>5297749.9289999995</v>
      </c>
      <c r="H61" s="42" t="s">
        <v>11</v>
      </c>
      <c r="I61" s="77" t="s">
        <v>12</v>
      </c>
      <c r="J61" s="77">
        <v>0.85</v>
      </c>
      <c r="K61" s="77">
        <v>1.853</v>
      </c>
      <c r="L61" s="45">
        <f t="shared" si="3"/>
        <v>1.3429999999999997</v>
      </c>
      <c r="M61" s="45">
        <v>1.1000000000000001</v>
      </c>
      <c r="N61" s="77">
        <v>0.26</v>
      </c>
    </row>
    <row r="62" spans="1:14" s="77" customFormat="1" x14ac:dyDescent="0.3">
      <c r="A62" s="77" t="s">
        <v>471</v>
      </c>
      <c r="B62" s="77" t="s">
        <v>486</v>
      </c>
      <c r="C62" s="82" t="s">
        <v>684</v>
      </c>
      <c r="D62" s="78">
        <v>42768</v>
      </c>
      <c r="E62" s="79"/>
      <c r="F62" s="45">
        <v>1644122.412</v>
      </c>
      <c r="G62" s="45">
        <v>5297749.9289999995</v>
      </c>
      <c r="H62" s="42" t="s">
        <v>11</v>
      </c>
      <c r="I62" s="77" t="s">
        <v>12</v>
      </c>
      <c r="J62" s="77">
        <v>0.7</v>
      </c>
      <c r="K62" s="77">
        <v>1.853</v>
      </c>
      <c r="L62" s="45">
        <f t="shared" si="3"/>
        <v>1.1929999999999998</v>
      </c>
      <c r="M62" s="45">
        <v>1.1000000000000001</v>
      </c>
      <c r="N62" s="77">
        <v>0.26</v>
      </c>
    </row>
    <row r="63" spans="1:14" s="77" customFormat="1" x14ac:dyDescent="0.3">
      <c r="A63" s="77" t="s">
        <v>472</v>
      </c>
      <c r="B63" s="77" t="s">
        <v>486</v>
      </c>
      <c r="C63" s="82" t="s">
        <v>684</v>
      </c>
      <c r="D63" s="78">
        <v>42768</v>
      </c>
      <c r="E63" s="79"/>
      <c r="F63" s="45">
        <v>1644122.412</v>
      </c>
      <c r="G63" s="45">
        <v>5297749.9289999995</v>
      </c>
      <c r="H63" s="42" t="s">
        <v>11</v>
      </c>
      <c r="I63" s="77" t="s">
        <v>12</v>
      </c>
      <c r="J63" s="77">
        <v>0.8</v>
      </c>
      <c r="K63" s="77">
        <v>1.853</v>
      </c>
      <c r="L63" s="45">
        <f t="shared" si="3"/>
        <v>1.2929999999999999</v>
      </c>
      <c r="M63" s="45">
        <v>1.1000000000000001</v>
      </c>
      <c r="N63" s="77">
        <v>0.26</v>
      </c>
    </row>
    <row r="64" spans="1:14" s="77" customFormat="1" x14ac:dyDescent="0.3">
      <c r="A64" s="77" t="s">
        <v>474</v>
      </c>
      <c r="B64" s="77" t="s">
        <v>486</v>
      </c>
      <c r="C64" s="82" t="s">
        <v>684</v>
      </c>
      <c r="D64" s="78">
        <v>42768</v>
      </c>
      <c r="E64" s="79"/>
      <c r="F64" s="45">
        <v>1644122.412</v>
      </c>
      <c r="G64" s="45">
        <v>5297749.9289999995</v>
      </c>
      <c r="H64" s="42" t="s">
        <v>13</v>
      </c>
      <c r="I64" s="77" t="s">
        <v>456</v>
      </c>
      <c r="J64" s="77">
        <v>0.9</v>
      </c>
      <c r="K64" s="77">
        <v>1.853</v>
      </c>
      <c r="L64" s="45">
        <f t="shared" si="3"/>
        <v>1.2730000000000001</v>
      </c>
      <c r="M64" s="45">
        <v>1.1000000000000001</v>
      </c>
      <c r="N64" s="81">
        <v>0.38</v>
      </c>
    </row>
    <row r="65" spans="1:18" s="77" customFormat="1" x14ac:dyDescent="0.3">
      <c r="A65" s="77" t="s">
        <v>475</v>
      </c>
      <c r="B65" s="77" t="s">
        <v>486</v>
      </c>
      <c r="C65" s="82" t="s">
        <v>684</v>
      </c>
      <c r="D65" s="78">
        <v>42768</v>
      </c>
      <c r="E65" s="79"/>
      <c r="F65" s="45">
        <v>1644122.412</v>
      </c>
      <c r="G65" s="45">
        <v>5297749.9289999995</v>
      </c>
      <c r="H65" s="42" t="s">
        <v>13</v>
      </c>
      <c r="I65" s="77" t="s">
        <v>456</v>
      </c>
      <c r="J65" s="77">
        <v>0.8</v>
      </c>
      <c r="K65" s="77">
        <v>1.853</v>
      </c>
      <c r="L65" s="45">
        <f t="shared" si="3"/>
        <v>1.173</v>
      </c>
      <c r="M65" s="45">
        <v>1.1000000000000001</v>
      </c>
      <c r="N65" s="81">
        <v>0.38</v>
      </c>
    </row>
    <row r="66" spans="1:18" s="77" customFormat="1" x14ac:dyDescent="0.3">
      <c r="A66" s="77" t="s">
        <v>476</v>
      </c>
      <c r="B66" s="77" t="s">
        <v>486</v>
      </c>
      <c r="C66" s="82" t="s">
        <v>684</v>
      </c>
      <c r="D66" s="78">
        <v>42768</v>
      </c>
      <c r="E66" s="79"/>
      <c r="F66" s="45">
        <v>1644122.412</v>
      </c>
      <c r="G66" s="45">
        <v>5297749.9289999995</v>
      </c>
      <c r="H66" s="42" t="s">
        <v>13</v>
      </c>
      <c r="I66" s="77" t="s">
        <v>456</v>
      </c>
      <c r="J66" s="77">
        <v>0.8</v>
      </c>
      <c r="K66" s="77">
        <v>1.853</v>
      </c>
      <c r="L66" s="45">
        <f t="shared" si="3"/>
        <v>1.173</v>
      </c>
      <c r="M66" s="45">
        <v>1.1000000000000001</v>
      </c>
      <c r="N66" s="81">
        <v>0.38</v>
      </c>
    </row>
    <row r="67" spans="1:18" s="77" customFormat="1" x14ac:dyDescent="0.3">
      <c r="A67" s="77" t="s">
        <v>477</v>
      </c>
      <c r="B67" s="77" t="s">
        <v>486</v>
      </c>
      <c r="C67" s="82" t="s">
        <v>684</v>
      </c>
      <c r="D67" s="78">
        <v>42768</v>
      </c>
      <c r="E67" s="79">
        <v>0.76388888888888884</v>
      </c>
      <c r="F67" s="45">
        <v>1644122.412</v>
      </c>
      <c r="G67" s="45">
        <v>5297749.9289999995</v>
      </c>
      <c r="H67" s="42" t="s">
        <v>11</v>
      </c>
      <c r="I67" s="77" t="s">
        <v>12</v>
      </c>
      <c r="J67" s="77">
        <v>0.75</v>
      </c>
      <c r="K67" s="77">
        <v>1.853</v>
      </c>
      <c r="L67" s="45">
        <f t="shared" si="3"/>
        <v>1.2429999999999997</v>
      </c>
      <c r="M67" s="45">
        <v>1.1000000000000001</v>
      </c>
      <c r="N67" s="77">
        <v>0.26</v>
      </c>
    </row>
    <row r="68" spans="1:18" s="77" customFormat="1" x14ac:dyDescent="0.3">
      <c r="A68" s="77" t="s">
        <v>455</v>
      </c>
      <c r="B68" s="77" t="s">
        <v>447</v>
      </c>
      <c r="C68" s="77" t="s">
        <v>461</v>
      </c>
      <c r="D68" s="78">
        <v>42768</v>
      </c>
      <c r="E68" s="79">
        <v>0.56597222222222221</v>
      </c>
      <c r="F68" s="77">
        <v>1657663</v>
      </c>
      <c r="G68" s="77">
        <v>5304021</v>
      </c>
      <c r="H68" s="42" t="s">
        <v>11</v>
      </c>
      <c r="I68" s="77" t="s">
        <v>456</v>
      </c>
      <c r="J68" s="77">
        <v>0.6</v>
      </c>
      <c r="K68" s="77">
        <v>1.885</v>
      </c>
      <c r="L68" s="45">
        <f t="shared" si="3"/>
        <v>1.1249999999999998</v>
      </c>
      <c r="M68" s="45">
        <v>1.1000000000000001</v>
      </c>
      <c r="N68" s="77">
        <v>0.26</v>
      </c>
      <c r="O68" s="53">
        <f>AVERAGE(L68:L89)</f>
        <v>1.0545454545454542</v>
      </c>
      <c r="P68" s="80"/>
      <c r="Q68" s="53">
        <f>AVERAGE(O68:O90)</f>
        <v>1.0044393939393936</v>
      </c>
      <c r="R68" s="80">
        <f>STDEVA(L68:L110)</f>
        <v>6.9498249219086664E-2</v>
      </c>
    </row>
    <row r="69" spans="1:18" s="77" customFormat="1" x14ac:dyDescent="0.3">
      <c r="A69" s="77" t="s">
        <v>457</v>
      </c>
      <c r="B69" s="77" t="s">
        <v>447</v>
      </c>
      <c r="C69" s="77" t="s">
        <v>461</v>
      </c>
      <c r="D69" s="78">
        <v>42768</v>
      </c>
      <c r="E69" s="79"/>
      <c r="F69" s="77" t="s">
        <v>487</v>
      </c>
      <c r="G69" s="77" t="s">
        <v>488</v>
      </c>
      <c r="H69" s="42" t="s">
        <v>11</v>
      </c>
      <c r="I69" s="77" t="s">
        <v>456</v>
      </c>
      <c r="J69" s="77">
        <v>0.55000000000000004</v>
      </c>
      <c r="K69" s="77">
        <v>1.885</v>
      </c>
      <c r="L69" s="45">
        <f t="shared" si="3"/>
        <v>1.075</v>
      </c>
      <c r="M69" s="45">
        <v>1.1000000000000001</v>
      </c>
      <c r="N69" s="77">
        <v>0.26</v>
      </c>
    </row>
    <row r="70" spans="1:18" s="77" customFormat="1" x14ac:dyDescent="0.3">
      <c r="A70" s="77" t="s">
        <v>458</v>
      </c>
      <c r="B70" s="77" t="s">
        <v>447</v>
      </c>
      <c r="C70" s="77" t="s">
        <v>461</v>
      </c>
      <c r="D70" s="78">
        <v>42768</v>
      </c>
      <c r="E70" s="79"/>
      <c r="F70" s="77" t="s">
        <v>487</v>
      </c>
      <c r="G70" s="77" t="s">
        <v>488</v>
      </c>
      <c r="H70" s="42" t="s">
        <v>11</v>
      </c>
      <c r="I70" s="77" t="s">
        <v>456</v>
      </c>
      <c r="J70" s="77">
        <v>0.6</v>
      </c>
      <c r="K70" s="77">
        <v>1.885</v>
      </c>
      <c r="L70" s="45">
        <f t="shared" si="3"/>
        <v>1.1249999999999998</v>
      </c>
      <c r="M70" s="45">
        <v>1.1000000000000001</v>
      </c>
      <c r="N70" s="77">
        <v>0.26</v>
      </c>
    </row>
    <row r="71" spans="1:18" s="77" customFormat="1" x14ac:dyDescent="0.3">
      <c r="A71" s="77" t="s">
        <v>459</v>
      </c>
      <c r="B71" s="77" t="s">
        <v>447</v>
      </c>
      <c r="C71" s="77" t="s">
        <v>461</v>
      </c>
      <c r="D71" s="78">
        <v>42768</v>
      </c>
      <c r="E71" s="79"/>
      <c r="F71" s="77" t="s">
        <v>487</v>
      </c>
      <c r="G71" s="77" t="s">
        <v>488</v>
      </c>
      <c r="H71" s="42" t="s">
        <v>11</v>
      </c>
      <c r="I71" s="77" t="s">
        <v>12</v>
      </c>
      <c r="J71" s="77">
        <v>0.5</v>
      </c>
      <c r="K71" s="77">
        <v>1.885</v>
      </c>
      <c r="L71" s="45">
        <f t="shared" si="3"/>
        <v>1.0249999999999997</v>
      </c>
      <c r="M71" s="45">
        <v>1.1000000000000001</v>
      </c>
      <c r="N71" s="77">
        <v>0.26</v>
      </c>
    </row>
    <row r="72" spans="1:18" s="77" customFormat="1" x14ac:dyDescent="0.3">
      <c r="A72" s="77" t="s">
        <v>460</v>
      </c>
      <c r="B72" s="77" t="s">
        <v>447</v>
      </c>
      <c r="C72" s="77" t="s">
        <v>461</v>
      </c>
      <c r="D72" s="78">
        <v>42768</v>
      </c>
      <c r="E72" s="79"/>
      <c r="F72" s="77" t="s">
        <v>487</v>
      </c>
      <c r="G72" s="77" t="s">
        <v>488</v>
      </c>
      <c r="H72" s="42" t="s">
        <v>11</v>
      </c>
      <c r="I72" s="77" t="s">
        <v>456</v>
      </c>
      <c r="J72" s="77">
        <v>0.55000000000000004</v>
      </c>
      <c r="K72" s="77">
        <v>1.885</v>
      </c>
      <c r="L72" s="45">
        <f t="shared" si="3"/>
        <v>1.075</v>
      </c>
      <c r="M72" s="45">
        <v>1.1000000000000001</v>
      </c>
      <c r="N72" s="77">
        <v>0.26</v>
      </c>
    </row>
    <row r="73" spans="1:18" s="77" customFormat="1" x14ac:dyDescent="0.3">
      <c r="A73" s="77" t="s">
        <v>462</v>
      </c>
      <c r="B73" s="77" t="s">
        <v>447</v>
      </c>
      <c r="C73" s="77" t="s">
        <v>461</v>
      </c>
      <c r="D73" s="78">
        <v>42768</v>
      </c>
      <c r="E73" s="79"/>
      <c r="F73" s="77" t="s">
        <v>487</v>
      </c>
      <c r="G73" s="77" t="s">
        <v>488</v>
      </c>
      <c r="H73" s="42" t="s">
        <v>11</v>
      </c>
      <c r="I73" s="77" t="s">
        <v>12</v>
      </c>
      <c r="J73" s="77">
        <v>0.6</v>
      </c>
      <c r="K73" s="77">
        <v>1.885</v>
      </c>
      <c r="L73" s="45">
        <f t="shared" si="3"/>
        <v>1.1249999999999998</v>
      </c>
      <c r="M73" s="45">
        <v>1.1000000000000001</v>
      </c>
      <c r="N73" s="77">
        <v>0.26</v>
      </c>
    </row>
    <row r="74" spans="1:18" s="77" customFormat="1" x14ac:dyDescent="0.3">
      <c r="A74" s="77" t="s">
        <v>463</v>
      </c>
      <c r="B74" s="77" t="s">
        <v>447</v>
      </c>
      <c r="C74" s="77" t="s">
        <v>461</v>
      </c>
      <c r="D74" s="78">
        <v>42768</v>
      </c>
      <c r="E74" s="79"/>
      <c r="F74" s="77" t="s">
        <v>487</v>
      </c>
      <c r="G74" s="77" t="s">
        <v>488</v>
      </c>
      <c r="H74" s="42" t="s">
        <v>11</v>
      </c>
      <c r="I74" s="77" t="s">
        <v>12</v>
      </c>
      <c r="J74" s="77">
        <v>0.55000000000000004</v>
      </c>
      <c r="K74" s="77">
        <v>1.885</v>
      </c>
      <c r="L74" s="45">
        <f t="shared" si="3"/>
        <v>1.075</v>
      </c>
      <c r="M74" s="45">
        <v>1.1000000000000001</v>
      </c>
      <c r="N74" s="77">
        <v>0.26</v>
      </c>
    </row>
    <row r="75" spans="1:18" s="77" customFormat="1" x14ac:dyDescent="0.3">
      <c r="A75" s="77" t="s">
        <v>464</v>
      </c>
      <c r="B75" s="77" t="s">
        <v>447</v>
      </c>
      <c r="C75" s="77" t="s">
        <v>461</v>
      </c>
      <c r="D75" s="78">
        <v>42768</v>
      </c>
      <c r="E75" s="79"/>
      <c r="F75" s="77" t="s">
        <v>487</v>
      </c>
      <c r="G75" s="77" t="s">
        <v>488</v>
      </c>
      <c r="H75" s="42" t="s">
        <v>11</v>
      </c>
      <c r="I75" s="77" t="s">
        <v>12</v>
      </c>
      <c r="J75" s="77">
        <v>0.5</v>
      </c>
      <c r="K75" s="77">
        <v>1.885</v>
      </c>
      <c r="L75" s="45">
        <f t="shared" si="3"/>
        <v>1.0249999999999997</v>
      </c>
      <c r="M75" s="45">
        <v>1.1000000000000001</v>
      </c>
      <c r="N75" s="77">
        <v>0.26</v>
      </c>
    </row>
    <row r="76" spans="1:18" s="77" customFormat="1" x14ac:dyDescent="0.3">
      <c r="A76" s="77" t="s">
        <v>465</v>
      </c>
      <c r="B76" s="77" t="s">
        <v>447</v>
      </c>
      <c r="C76" s="77" t="s">
        <v>461</v>
      </c>
      <c r="D76" s="78">
        <v>42768</v>
      </c>
      <c r="E76" s="79"/>
      <c r="F76" s="77" t="s">
        <v>487</v>
      </c>
      <c r="G76" s="77" t="s">
        <v>488</v>
      </c>
      <c r="H76" s="42" t="s">
        <v>11</v>
      </c>
      <c r="I76" s="77" t="s">
        <v>12</v>
      </c>
      <c r="J76" s="77">
        <v>0.5</v>
      </c>
      <c r="K76" s="77">
        <v>1.885</v>
      </c>
      <c r="L76" s="45">
        <f t="shared" si="3"/>
        <v>1.0249999999999997</v>
      </c>
      <c r="M76" s="45">
        <v>1.1000000000000001</v>
      </c>
      <c r="N76" s="77">
        <v>0.26</v>
      </c>
    </row>
    <row r="77" spans="1:18" s="77" customFormat="1" x14ac:dyDescent="0.3">
      <c r="A77" s="77" t="s">
        <v>466</v>
      </c>
      <c r="B77" s="77" t="s">
        <v>447</v>
      </c>
      <c r="C77" s="77" t="s">
        <v>461</v>
      </c>
      <c r="D77" s="78">
        <v>42768</v>
      </c>
      <c r="E77" s="79"/>
      <c r="F77" s="77" t="s">
        <v>487</v>
      </c>
      <c r="G77" s="77" t="s">
        <v>488</v>
      </c>
      <c r="H77" s="42" t="s">
        <v>11</v>
      </c>
      <c r="I77" s="77" t="s">
        <v>12</v>
      </c>
      <c r="J77" s="77">
        <v>0.45</v>
      </c>
      <c r="K77" s="77">
        <v>1.885</v>
      </c>
      <c r="L77" s="45">
        <f t="shared" si="3"/>
        <v>0.97499999999999987</v>
      </c>
      <c r="M77" s="45">
        <v>1.1000000000000001</v>
      </c>
      <c r="N77" s="77">
        <v>0.26</v>
      </c>
    </row>
    <row r="78" spans="1:18" s="77" customFormat="1" x14ac:dyDescent="0.3">
      <c r="A78" s="77" t="s">
        <v>467</v>
      </c>
      <c r="B78" s="77" t="s">
        <v>447</v>
      </c>
      <c r="C78" s="77" t="s">
        <v>461</v>
      </c>
      <c r="D78" s="78">
        <v>42768</v>
      </c>
      <c r="E78" s="79"/>
      <c r="F78" s="77" t="s">
        <v>487</v>
      </c>
      <c r="G78" s="77" t="s">
        <v>488</v>
      </c>
      <c r="H78" s="42" t="s">
        <v>11</v>
      </c>
      <c r="I78" s="77" t="s">
        <v>12</v>
      </c>
      <c r="J78" s="77">
        <v>0.4</v>
      </c>
      <c r="K78" s="77">
        <v>1.885</v>
      </c>
      <c r="L78" s="45">
        <f t="shared" si="3"/>
        <v>0.92500000000000004</v>
      </c>
      <c r="M78" s="45">
        <v>1.1000000000000001</v>
      </c>
      <c r="N78" s="77">
        <v>0.26</v>
      </c>
    </row>
    <row r="79" spans="1:18" s="77" customFormat="1" x14ac:dyDescent="0.3">
      <c r="A79" s="77" t="s">
        <v>468</v>
      </c>
      <c r="B79" s="77" t="s">
        <v>447</v>
      </c>
      <c r="C79" s="77" t="s">
        <v>461</v>
      </c>
      <c r="D79" s="78">
        <v>42768</v>
      </c>
      <c r="E79" s="79"/>
      <c r="F79" s="77" t="s">
        <v>487</v>
      </c>
      <c r="G79" s="77" t="s">
        <v>488</v>
      </c>
      <c r="H79" s="42" t="s">
        <v>11</v>
      </c>
      <c r="I79" s="77" t="s">
        <v>12</v>
      </c>
      <c r="J79" s="77">
        <v>0.5</v>
      </c>
      <c r="K79" s="77">
        <v>1.885</v>
      </c>
      <c r="L79" s="45">
        <f t="shared" si="3"/>
        <v>1.0249999999999997</v>
      </c>
      <c r="M79" s="45">
        <v>1.1000000000000001</v>
      </c>
      <c r="N79" s="77">
        <v>0.26</v>
      </c>
    </row>
    <row r="80" spans="1:18" s="77" customFormat="1" x14ac:dyDescent="0.3">
      <c r="A80" s="77" t="s">
        <v>471</v>
      </c>
      <c r="B80" s="77" t="s">
        <v>447</v>
      </c>
      <c r="C80" s="77" t="s">
        <v>461</v>
      </c>
      <c r="D80" s="78">
        <v>42768</v>
      </c>
      <c r="E80" s="79"/>
      <c r="F80" s="77" t="s">
        <v>487</v>
      </c>
      <c r="G80" s="77" t="s">
        <v>488</v>
      </c>
      <c r="H80" s="42" t="s">
        <v>11</v>
      </c>
      <c r="I80" s="77" t="s">
        <v>456</v>
      </c>
      <c r="J80" s="77">
        <v>0.55000000000000004</v>
      </c>
      <c r="K80" s="77">
        <v>1.885</v>
      </c>
      <c r="L80" s="45">
        <f t="shared" si="3"/>
        <v>1.075</v>
      </c>
      <c r="M80" s="45">
        <v>1.1000000000000001</v>
      </c>
      <c r="N80" s="77">
        <v>0.26</v>
      </c>
    </row>
    <row r="81" spans="1:17" s="77" customFormat="1" x14ac:dyDescent="0.3">
      <c r="A81" s="77" t="s">
        <v>469</v>
      </c>
      <c r="B81" s="77" t="s">
        <v>447</v>
      </c>
      <c r="C81" s="77" t="s">
        <v>461</v>
      </c>
      <c r="D81" s="78">
        <v>42768</v>
      </c>
      <c r="E81" s="79"/>
      <c r="F81" s="77" t="s">
        <v>487</v>
      </c>
      <c r="G81" s="77" t="s">
        <v>488</v>
      </c>
      <c r="H81" s="42" t="s">
        <v>11</v>
      </c>
      <c r="I81" s="77" t="s">
        <v>456</v>
      </c>
      <c r="J81" s="77">
        <v>0.55000000000000004</v>
      </c>
      <c r="K81" s="77">
        <v>1.885</v>
      </c>
      <c r="L81" s="45">
        <f t="shared" si="3"/>
        <v>1.075</v>
      </c>
      <c r="M81" s="45">
        <v>1.1000000000000001</v>
      </c>
      <c r="N81" s="77">
        <v>0.26</v>
      </c>
    </row>
    <row r="82" spans="1:17" s="77" customFormat="1" x14ac:dyDescent="0.3">
      <c r="A82" s="77" t="s">
        <v>470</v>
      </c>
      <c r="B82" s="77" t="s">
        <v>447</v>
      </c>
      <c r="C82" s="77" t="s">
        <v>461</v>
      </c>
      <c r="D82" s="78">
        <v>42768</v>
      </c>
      <c r="E82" s="79"/>
      <c r="F82" s="77" t="s">
        <v>487</v>
      </c>
      <c r="G82" s="77" t="s">
        <v>488</v>
      </c>
      <c r="H82" s="42" t="s">
        <v>11</v>
      </c>
      <c r="I82" s="77" t="s">
        <v>456</v>
      </c>
      <c r="J82" s="77">
        <v>0.5</v>
      </c>
      <c r="K82" s="77">
        <v>1.885</v>
      </c>
      <c r="L82" s="45">
        <f t="shared" si="3"/>
        <v>1.0249999999999997</v>
      </c>
      <c r="M82" s="45">
        <v>1.1000000000000001</v>
      </c>
      <c r="N82" s="77">
        <v>0.26</v>
      </c>
    </row>
    <row r="83" spans="1:17" s="77" customFormat="1" x14ac:dyDescent="0.3">
      <c r="A83" s="77" t="s">
        <v>471</v>
      </c>
      <c r="B83" s="77" t="s">
        <v>447</v>
      </c>
      <c r="C83" s="77" t="s">
        <v>461</v>
      </c>
      <c r="D83" s="78">
        <v>42768</v>
      </c>
      <c r="E83" s="79"/>
      <c r="F83" s="77" t="s">
        <v>487</v>
      </c>
      <c r="G83" s="77" t="s">
        <v>488</v>
      </c>
      <c r="H83" s="42" t="s">
        <v>11</v>
      </c>
      <c r="I83" s="77" t="s">
        <v>456</v>
      </c>
      <c r="J83" s="77">
        <v>0.5</v>
      </c>
      <c r="K83" s="77">
        <v>1.885</v>
      </c>
      <c r="L83" s="45">
        <f t="shared" si="3"/>
        <v>1.0249999999999997</v>
      </c>
      <c r="M83" s="45">
        <v>1.1000000000000001</v>
      </c>
      <c r="N83" s="77">
        <v>0.26</v>
      </c>
    </row>
    <row r="84" spans="1:17" s="77" customFormat="1" x14ac:dyDescent="0.3">
      <c r="A84" s="77" t="s">
        <v>472</v>
      </c>
      <c r="B84" s="77" t="s">
        <v>447</v>
      </c>
      <c r="C84" s="77" t="s">
        <v>461</v>
      </c>
      <c r="D84" s="78">
        <v>42768</v>
      </c>
      <c r="E84" s="79"/>
      <c r="F84" s="77" t="s">
        <v>487</v>
      </c>
      <c r="G84" s="77" t="s">
        <v>488</v>
      </c>
      <c r="H84" s="42" t="s">
        <v>11</v>
      </c>
      <c r="I84" s="77" t="s">
        <v>456</v>
      </c>
      <c r="J84" s="77">
        <v>0.55000000000000004</v>
      </c>
      <c r="K84" s="77">
        <v>1.885</v>
      </c>
      <c r="L84" s="45">
        <f t="shared" si="3"/>
        <v>1.075</v>
      </c>
      <c r="M84" s="45">
        <v>1.1000000000000001</v>
      </c>
      <c r="N84" s="77">
        <v>0.26</v>
      </c>
    </row>
    <row r="85" spans="1:17" s="77" customFormat="1" x14ac:dyDescent="0.3">
      <c r="A85" s="77" t="s">
        <v>474</v>
      </c>
      <c r="B85" s="77" t="s">
        <v>447</v>
      </c>
      <c r="C85" s="77" t="s">
        <v>461</v>
      </c>
      <c r="D85" s="78">
        <v>42768</v>
      </c>
      <c r="E85" s="79"/>
      <c r="F85" s="77" t="s">
        <v>487</v>
      </c>
      <c r="G85" s="77" t="s">
        <v>488</v>
      </c>
      <c r="H85" s="42" t="s">
        <v>11</v>
      </c>
      <c r="I85" s="77" t="s">
        <v>456</v>
      </c>
      <c r="J85" s="77">
        <v>0.55000000000000004</v>
      </c>
      <c r="K85" s="77">
        <v>1.885</v>
      </c>
      <c r="L85" s="45">
        <f t="shared" si="3"/>
        <v>1.075</v>
      </c>
      <c r="M85" s="45">
        <v>1.1000000000000001</v>
      </c>
      <c r="N85" s="77">
        <v>0.26</v>
      </c>
    </row>
    <row r="86" spans="1:17" s="77" customFormat="1" x14ac:dyDescent="0.3">
      <c r="A86" s="77" t="s">
        <v>475</v>
      </c>
      <c r="B86" s="77" t="s">
        <v>447</v>
      </c>
      <c r="C86" s="77" t="s">
        <v>461</v>
      </c>
      <c r="D86" s="78">
        <v>42768</v>
      </c>
      <c r="E86" s="79"/>
      <c r="F86" s="77" t="s">
        <v>487</v>
      </c>
      <c r="G86" s="77" t="s">
        <v>488</v>
      </c>
      <c r="H86" s="42" t="s">
        <v>11</v>
      </c>
      <c r="I86" s="77" t="s">
        <v>456</v>
      </c>
      <c r="J86" s="77">
        <v>0.5</v>
      </c>
      <c r="K86" s="77">
        <v>1.885</v>
      </c>
      <c r="L86" s="45">
        <f t="shared" si="3"/>
        <v>1.0249999999999997</v>
      </c>
      <c r="M86" s="45">
        <v>1.1000000000000001</v>
      </c>
      <c r="N86" s="77">
        <v>0.26</v>
      </c>
    </row>
    <row r="87" spans="1:17" s="77" customFormat="1" x14ac:dyDescent="0.3">
      <c r="A87" s="77" t="s">
        <v>476</v>
      </c>
      <c r="B87" s="77" t="s">
        <v>447</v>
      </c>
      <c r="C87" s="77" t="s">
        <v>461</v>
      </c>
      <c r="D87" s="78">
        <v>42768</v>
      </c>
      <c r="E87" s="79"/>
      <c r="F87" s="77" t="s">
        <v>487</v>
      </c>
      <c r="G87" s="77" t="s">
        <v>488</v>
      </c>
      <c r="H87" s="42" t="s">
        <v>11</v>
      </c>
      <c r="I87" s="77" t="s">
        <v>456</v>
      </c>
      <c r="J87" s="77">
        <v>0.6</v>
      </c>
      <c r="K87" s="77">
        <v>1.885</v>
      </c>
      <c r="L87" s="45">
        <f t="shared" si="3"/>
        <v>1.1249999999999998</v>
      </c>
      <c r="M87" s="45">
        <v>1.1000000000000001</v>
      </c>
      <c r="N87" s="77">
        <v>0.26</v>
      </c>
    </row>
    <row r="88" spans="1:17" s="77" customFormat="1" x14ac:dyDescent="0.3">
      <c r="A88" s="77" t="s">
        <v>477</v>
      </c>
      <c r="B88" s="77" t="s">
        <v>447</v>
      </c>
      <c r="C88" s="77" t="s">
        <v>461</v>
      </c>
      <c r="D88" s="78">
        <v>42768</v>
      </c>
      <c r="E88" s="79"/>
      <c r="F88" s="77" t="s">
        <v>487</v>
      </c>
      <c r="G88" s="77" t="s">
        <v>488</v>
      </c>
      <c r="H88" s="42" t="s">
        <v>11</v>
      </c>
      <c r="I88" s="77" t="s">
        <v>456</v>
      </c>
      <c r="J88" s="77">
        <v>0.5</v>
      </c>
      <c r="K88" s="77">
        <v>1.885</v>
      </c>
      <c r="L88" s="45">
        <f t="shared" si="3"/>
        <v>1.0249999999999997</v>
      </c>
      <c r="M88" s="45">
        <v>1.1000000000000001</v>
      </c>
      <c r="N88" s="77">
        <v>0.26</v>
      </c>
    </row>
    <row r="89" spans="1:17" s="77" customFormat="1" x14ac:dyDescent="0.3">
      <c r="A89" s="77" t="s">
        <v>478</v>
      </c>
      <c r="B89" s="77" t="s">
        <v>447</v>
      </c>
      <c r="C89" s="77" t="s">
        <v>461</v>
      </c>
      <c r="D89" s="78">
        <v>42768</v>
      </c>
      <c r="E89" s="79">
        <v>0.57291666666666663</v>
      </c>
      <c r="F89" s="77" t="s">
        <v>487</v>
      </c>
      <c r="G89" s="77" t="s">
        <v>488</v>
      </c>
      <c r="H89" s="42" t="s">
        <v>11</v>
      </c>
      <c r="I89" s="77" t="s">
        <v>456</v>
      </c>
      <c r="J89" s="77">
        <v>0.55000000000000004</v>
      </c>
      <c r="K89" s="77">
        <v>1.885</v>
      </c>
      <c r="L89" s="45">
        <f t="shared" si="3"/>
        <v>1.075</v>
      </c>
      <c r="M89" s="45">
        <v>1.1000000000000001</v>
      </c>
      <c r="N89" s="77">
        <v>0.26</v>
      </c>
    </row>
    <row r="90" spans="1:17" s="77" customFormat="1" x14ac:dyDescent="0.3">
      <c r="A90" s="77" t="s">
        <v>455</v>
      </c>
      <c r="B90" s="77" t="s">
        <v>447</v>
      </c>
      <c r="C90" s="77" t="s">
        <v>461</v>
      </c>
      <c r="D90" s="78">
        <v>42768</v>
      </c>
      <c r="E90" s="79">
        <v>0.58124999999999993</v>
      </c>
      <c r="F90" s="77">
        <v>1657810</v>
      </c>
      <c r="G90" s="77">
        <v>5304041</v>
      </c>
      <c r="H90" s="42" t="s">
        <v>11</v>
      </c>
      <c r="I90" s="77" t="s">
        <v>456</v>
      </c>
      <c r="J90" s="77">
        <v>0.5</v>
      </c>
      <c r="K90" s="77">
        <v>1.7809999999999999</v>
      </c>
      <c r="L90" s="45">
        <f t="shared" si="3"/>
        <v>0.9209999999999996</v>
      </c>
      <c r="M90" s="45">
        <v>1.1000000000000001</v>
      </c>
      <c r="N90" s="77">
        <v>0.26</v>
      </c>
      <c r="O90" s="53">
        <f>AVERAGE(L90:L110)</f>
        <v>0.95433333333333281</v>
      </c>
      <c r="Q90" s="3"/>
    </row>
    <row r="91" spans="1:17" s="77" customFormat="1" x14ac:dyDescent="0.3">
      <c r="A91" s="77" t="s">
        <v>457</v>
      </c>
      <c r="B91" s="77" t="s">
        <v>447</v>
      </c>
      <c r="C91" s="77" t="s">
        <v>461</v>
      </c>
      <c r="D91" s="78">
        <v>42768</v>
      </c>
      <c r="E91" s="79"/>
      <c r="F91" s="77" t="s">
        <v>489</v>
      </c>
      <c r="G91" s="77" t="s">
        <v>490</v>
      </c>
      <c r="H91" s="42" t="s">
        <v>11</v>
      </c>
      <c r="I91" s="77" t="s">
        <v>456</v>
      </c>
      <c r="J91" s="77">
        <v>0.6</v>
      </c>
      <c r="K91" s="77">
        <v>1.7809999999999999</v>
      </c>
      <c r="L91" s="45">
        <f t="shared" si="3"/>
        <v>1.0209999999999997</v>
      </c>
      <c r="M91" s="45">
        <v>1.1000000000000001</v>
      </c>
      <c r="N91" s="77">
        <v>0.26</v>
      </c>
    </row>
    <row r="92" spans="1:17" s="77" customFormat="1" x14ac:dyDescent="0.3">
      <c r="A92" s="77" t="s">
        <v>458</v>
      </c>
      <c r="B92" s="77" t="s">
        <v>447</v>
      </c>
      <c r="C92" s="77" t="s">
        <v>461</v>
      </c>
      <c r="D92" s="78">
        <v>42768</v>
      </c>
      <c r="E92" s="79"/>
      <c r="F92" s="77" t="s">
        <v>489</v>
      </c>
      <c r="G92" s="77" t="s">
        <v>490</v>
      </c>
      <c r="H92" s="42" t="s">
        <v>11</v>
      </c>
      <c r="I92" s="77" t="s">
        <v>456</v>
      </c>
      <c r="J92" s="77">
        <v>0.55000000000000004</v>
      </c>
      <c r="K92" s="77">
        <v>1.7809999999999999</v>
      </c>
      <c r="L92" s="45">
        <f t="shared" si="3"/>
        <v>0.97099999999999986</v>
      </c>
      <c r="M92" s="45">
        <v>1.1000000000000001</v>
      </c>
      <c r="N92" s="77">
        <v>0.26</v>
      </c>
    </row>
    <row r="93" spans="1:17" s="77" customFormat="1" x14ac:dyDescent="0.3">
      <c r="A93" s="77" t="s">
        <v>459</v>
      </c>
      <c r="B93" s="77" t="s">
        <v>447</v>
      </c>
      <c r="C93" s="77" t="s">
        <v>461</v>
      </c>
      <c r="D93" s="78">
        <v>42768</v>
      </c>
      <c r="E93" s="79"/>
      <c r="F93" s="77" t="s">
        <v>489</v>
      </c>
      <c r="G93" s="77" t="s">
        <v>490</v>
      </c>
      <c r="H93" s="42" t="s">
        <v>11</v>
      </c>
      <c r="I93" s="77" t="s">
        <v>456</v>
      </c>
      <c r="J93" s="77">
        <v>0.5</v>
      </c>
      <c r="K93" s="77">
        <v>1.7809999999999999</v>
      </c>
      <c r="L93" s="45">
        <f t="shared" si="3"/>
        <v>0.9209999999999996</v>
      </c>
      <c r="M93" s="45">
        <v>1.1000000000000001</v>
      </c>
      <c r="N93" s="77">
        <v>0.26</v>
      </c>
    </row>
    <row r="94" spans="1:17" s="77" customFormat="1" x14ac:dyDescent="0.3">
      <c r="A94" s="77" t="s">
        <v>460</v>
      </c>
      <c r="B94" s="77" t="s">
        <v>447</v>
      </c>
      <c r="C94" s="77" t="s">
        <v>461</v>
      </c>
      <c r="D94" s="78">
        <v>42768</v>
      </c>
      <c r="E94" s="79"/>
      <c r="F94" s="77" t="s">
        <v>489</v>
      </c>
      <c r="G94" s="77" t="s">
        <v>490</v>
      </c>
      <c r="H94" s="42" t="s">
        <v>11</v>
      </c>
      <c r="I94" s="77" t="s">
        <v>456</v>
      </c>
      <c r="J94" s="77">
        <v>0.5</v>
      </c>
      <c r="K94" s="77">
        <v>1.7809999999999999</v>
      </c>
      <c r="L94" s="45">
        <f t="shared" si="3"/>
        <v>0.9209999999999996</v>
      </c>
      <c r="M94" s="45">
        <v>1.1000000000000001</v>
      </c>
      <c r="N94" s="77">
        <v>0.26</v>
      </c>
    </row>
    <row r="95" spans="1:17" s="77" customFormat="1" x14ac:dyDescent="0.3">
      <c r="A95" s="77" t="s">
        <v>462</v>
      </c>
      <c r="B95" s="77" t="s">
        <v>447</v>
      </c>
      <c r="C95" s="77" t="s">
        <v>461</v>
      </c>
      <c r="D95" s="78">
        <v>42768</v>
      </c>
      <c r="E95" s="79"/>
      <c r="F95" s="77" t="s">
        <v>489</v>
      </c>
      <c r="G95" s="77" t="s">
        <v>490</v>
      </c>
      <c r="H95" s="42" t="s">
        <v>11</v>
      </c>
      <c r="I95" s="77" t="s">
        <v>456</v>
      </c>
      <c r="J95" s="77">
        <v>0.55000000000000004</v>
      </c>
      <c r="K95" s="77">
        <v>1.7809999999999999</v>
      </c>
      <c r="L95" s="45">
        <f t="shared" si="3"/>
        <v>0.97099999999999986</v>
      </c>
      <c r="M95" s="45">
        <v>1.1000000000000001</v>
      </c>
      <c r="N95" s="77">
        <v>0.26</v>
      </c>
    </row>
    <row r="96" spans="1:17" s="77" customFormat="1" x14ac:dyDescent="0.3">
      <c r="A96" s="77" t="s">
        <v>463</v>
      </c>
      <c r="B96" s="77" t="s">
        <v>447</v>
      </c>
      <c r="C96" s="77" t="s">
        <v>461</v>
      </c>
      <c r="D96" s="78">
        <v>42768</v>
      </c>
      <c r="E96" s="79"/>
      <c r="F96" s="77" t="s">
        <v>489</v>
      </c>
      <c r="G96" s="77" t="s">
        <v>490</v>
      </c>
      <c r="H96" s="42" t="s">
        <v>11</v>
      </c>
      <c r="I96" s="77" t="s">
        <v>456</v>
      </c>
      <c r="J96" s="77">
        <v>0.6</v>
      </c>
      <c r="K96" s="77">
        <v>1.7809999999999999</v>
      </c>
      <c r="L96" s="45">
        <f t="shared" si="3"/>
        <v>1.0209999999999997</v>
      </c>
      <c r="M96" s="45">
        <v>1.1000000000000001</v>
      </c>
      <c r="N96" s="77">
        <v>0.26</v>
      </c>
    </row>
    <row r="97" spans="1:18" s="77" customFormat="1" x14ac:dyDescent="0.3">
      <c r="A97" s="77" t="s">
        <v>464</v>
      </c>
      <c r="B97" s="77" t="s">
        <v>447</v>
      </c>
      <c r="C97" s="77" t="s">
        <v>461</v>
      </c>
      <c r="D97" s="78">
        <v>42768</v>
      </c>
      <c r="E97" s="79"/>
      <c r="F97" s="77" t="s">
        <v>489</v>
      </c>
      <c r="G97" s="77" t="s">
        <v>490</v>
      </c>
      <c r="H97" s="42" t="s">
        <v>11</v>
      </c>
      <c r="I97" s="77" t="s">
        <v>12</v>
      </c>
      <c r="J97" s="77">
        <v>0.55000000000000004</v>
      </c>
      <c r="K97" s="77">
        <v>1.7809999999999999</v>
      </c>
      <c r="L97" s="45">
        <f t="shared" si="3"/>
        <v>0.97099999999999986</v>
      </c>
      <c r="M97" s="45">
        <v>1.1000000000000001</v>
      </c>
      <c r="N97" s="77">
        <v>0.26</v>
      </c>
    </row>
    <row r="98" spans="1:18" s="77" customFormat="1" x14ac:dyDescent="0.3">
      <c r="A98" s="77" t="s">
        <v>465</v>
      </c>
      <c r="B98" s="77" t="s">
        <v>447</v>
      </c>
      <c r="C98" s="77" t="s">
        <v>461</v>
      </c>
      <c r="D98" s="78">
        <v>42768</v>
      </c>
      <c r="E98" s="79"/>
      <c r="F98" s="77" t="s">
        <v>489</v>
      </c>
      <c r="G98" s="77" t="s">
        <v>490</v>
      </c>
      <c r="H98" s="42" t="s">
        <v>11</v>
      </c>
      <c r="I98" s="77" t="s">
        <v>12</v>
      </c>
      <c r="J98" s="77">
        <v>0.6</v>
      </c>
      <c r="K98" s="77">
        <v>1.7809999999999999</v>
      </c>
      <c r="L98" s="45">
        <f t="shared" si="3"/>
        <v>1.0209999999999997</v>
      </c>
      <c r="M98" s="45">
        <v>1.1000000000000001</v>
      </c>
      <c r="N98" s="77">
        <v>0.26</v>
      </c>
    </row>
    <row r="99" spans="1:18" s="77" customFormat="1" x14ac:dyDescent="0.3">
      <c r="A99" s="77" t="s">
        <v>466</v>
      </c>
      <c r="B99" s="77" t="s">
        <v>447</v>
      </c>
      <c r="C99" s="77" t="s">
        <v>461</v>
      </c>
      <c r="D99" s="78">
        <v>42768</v>
      </c>
      <c r="E99" s="79"/>
      <c r="F99" s="77" t="s">
        <v>489</v>
      </c>
      <c r="G99" s="77" t="s">
        <v>490</v>
      </c>
      <c r="H99" s="42" t="s">
        <v>11</v>
      </c>
      <c r="I99" s="77" t="s">
        <v>12</v>
      </c>
      <c r="J99" s="77">
        <v>0.6</v>
      </c>
      <c r="K99" s="77">
        <v>1.7809999999999999</v>
      </c>
      <c r="L99" s="45">
        <f t="shared" si="3"/>
        <v>1.0209999999999997</v>
      </c>
      <c r="M99" s="45">
        <v>1.1000000000000001</v>
      </c>
      <c r="N99" s="77">
        <v>0.26</v>
      </c>
    </row>
    <row r="100" spans="1:18" s="77" customFormat="1" x14ac:dyDescent="0.3">
      <c r="A100" s="77" t="s">
        <v>467</v>
      </c>
      <c r="B100" s="77" t="s">
        <v>447</v>
      </c>
      <c r="C100" s="77" t="s">
        <v>461</v>
      </c>
      <c r="D100" s="78">
        <v>42768</v>
      </c>
      <c r="E100" s="79"/>
      <c r="F100" s="77" t="s">
        <v>489</v>
      </c>
      <c r="G100" s="77" t="s">
        <v>490</v>
      </c>
      <c r="H100" s="42" t="s">
        <v>11</v>
      </c>
      <c r="I100" s="77" t="s">
        <v>12</v>
      </c>
      <c r="J100" s="77">
        <v>0.55000000000000004</v>
      </c>
      <c r="K100" s="77">
        <v>1.7809999999999999</v>
      </c>
      <c r="L100" s="45">
        <f t="shared" si="3"/>
        <v>0.97099999999999986</v>
      </c>
      <c r="M100" s="45">
        <v>1.1000000000000001</v>
      </c>
      <c r="N100" s="77">
        <v>0.26</v>
      </c>
    </row>
    <row r="101" spans="1:18" s="77" customFormat="1" x14ac:dyDescent="0.3">
      <c r="A101" s="77" t="s">
        <v>468</v>
      </c>
      <c r="B101" s="77" t="s">
        <v>447</v>
      </c>
      <c r="C101" s="77" t="s">
        <v>461</v>
      </c>
      <c r="D101" s="78">
        <v>42768</v>
      </c>
      <c r="E101" s="79"/>
      <c r="F101" s="77" t="s">
        <v>489</v>
      </c>
      <c r="G101" s="77" t="s">
        <v>490</v>
      </c>
      <c r="H101" s="42" t="s">
        <v>11</v>
      </c>
      <c r="I101" s="77" t="s">
        <v>12</v>
      </c>
      <c r="J101" s="77">
        <v>0.6</v>
      </c>
      <c r="K101" s="77">
        <v>1.7809999999999999</v>
      </c>
      <c r="L101" s="45">
        <f t="shared" ref="L101:L164" si="4">SUM(J101:K101)-M101-N101</f>
        <v>1.0209999999999997</v>
      </c>
      <c r="M101" s="45">
        <v>1.1000000000000001</v>
      </c>
      <c r="N101" s="77">
        <v>0.26</v>
      </c>
    </row>
    <row r="102" spans="1:18" s="77" customFormat="1" x14ac:dyDescent="0.3">
      <c r="A102" s="77" t="s">
        <v>469</v>
      </c>
      <c r="B102" s="77" t="s">
        <v>447</v>
      </c>
      <c r="C102" s="77" t="s">
        <v>461</v>
      </c>
      <c r="D102" s="78">
        <v>42768</v>
      </c>
      <c r="E102" s="79"/>
      <c r="F102" s="77" t="s">
        <v>489</v>
      </c>
      <c r="G102" s="77" t="s">
        <v>490</v>
      </c>
      <c r="H102" s="42" t="s">
        <v>11</v>
      </c>
      <c r="I102" s="77" t="s">
        <v>12</v>
      </c>
      <c r="J102" s="77">
        <v>0.5</v>
      </c>
      <c r="K102" s="77">
        <v>1.7809999999999999</v>
      </c>
      <c r="L102" s="45">
        <f t="shared" si="4"/>
        <v>0.9209999999999996</v>
      </c>
      <c r="M102" s="45">
        <v>1.1000000000000001</v>
      </c>
      <c r="N102" s="77">
        <v>0.26</v>
      </c>
    </row>
    <row r="103" spans="1:18" s="77" customFormat="1" x14ac:dyDescent="0.3">
      <c r="A103" s="77" t="s">
        <v>470</v>
      </c>
      <c r="B103" s="77" t="s">
        <v>447</v>
      </c>
      <c r="C103" s="77" t="s">
        <v>461</v>
      </c>
      <c r="D103" s="78">
        <v>42768</v>
      </c>
      <c r="E103" s="79"/>
      <c r="F103" s="77" t="s">
        <v>489</v>
      </c>
      <c r="G103" s="77" t="s">
        <v>490</v>
      </c>
      <c r="H103" s="42" t="s">
        <v>11</v>
      </c>
      <c r="I103" s="77" t="s">
        <v>12</v>
      </c>
      <c r="J103" s="77">
        <v>0.55000000000000004</v>
      </c>
      <c r="K103" s="77">
        <v>1.7809999999999999</v>
      </c>
      <c r="L103" s="45">
        <f t="shared" si="4"/>
        <v>0.97099999999999986</v>
      </c>
      <c r="M103" s="45">
        <v>1.1000000000000001</v>
      </c>
      <c r="N103" s="77">
        <v>0.26</v>
      </c>
    </row>
    <row r="104" spans="1:18" s="77" customFormat="1" x14ac:dyDescent="0.3">
      <c r="A104" s="77" t="s">
        <v>471</v>
      </c>
      <c r="B104" s="77" t="s">
        <v>447</v>
      </c>
      <c r="C104" s="77" t="s">
        <v>461</v>
      </c>
      <c r="D104" s="78">
        <v>42768</v>
      </c>
      <c r="E104" s="79"/>
      <c r="F104" s="77" t="s">
        <v>489</v>
      </c>
      <c r="G104" s="77" t="s">
        <v>490</v>
      </c>
      <c r="H104" s="42" t="s">
        <v>11</v>
      </c>
      <c r="I104" s="77" t="s">
        <v>12</v>
      </c>
      <c r="J104" s="77">
        <v>0.5</v>
      </c>
      <c r="K104" s="77">
        <v>1.7809999999999999</v>
      </c>
      <c r="L104" s="45">
        <f t="shared" si="4"/>
        <v>0.9209999999999996</v>
      </c>
      <c r="M104" s="45">
        <v>1.1000000000000001</v>
      </c>
      <c r="N104" s="77">
        <v>0.26</v>
      </c>
    </row>
    <row r="105" spans="1:18" s="77" customFormat="1" x14ac:dyDescent="0.3">
      <c r="A105" s="77" t="s">
        <v>472</v>
      </c>
      <c r="B105" s="77" t="s">
        <v>447</v>
      </c>
      <c r="C105" s="77" t="s">
        <v>461</v>
      </c>
      <c r="D105" s="78">
        <v>42768</v>
      </c>
      <c r="E105" s="79"/>
      <c r="F105" s="77" t="s">
        <v>489</v>
      </c>
      <c r="G105" s="77" t="s">
        <v>490</v>
      </c>
      <c r="H105" s="42" t="s">
        <v>11</v>
      </c>
      <c r="I105" s="77" t="s">
        <v>12</v>
      </c>
      <c r="J105" s="77">
        <v>0.5</v>
      </c>
      <c r="K105" s="77">
        <v>1.7809999999999999</v>
      </c>
      <c r="L105" s="45">
        <f t="shared" si="4"/>
        <v>0.9209999999999996</v>
      </c>
      <c r="M105" s="45">
        <v>1.1000000000000001</v>
      </c>
      <c r="N105" s="77">
        <v>0.26</v>
      </c>
    </row>
    <row r="106" spans="1:18" s="77" customFormat="1" x14ac:dyDescent="0.3">
      <c r="A106" s="77" t="s">
        <v>474</v>
      </c>
      <c r="B106" s="77" t="s">
        <v>447</v>
      </c>
      <c r="C106" s="77" t="s">
        <v>461</v>
      </c>
      <c r="D106" s="78">
        <v>42768</v>
      </c>
      <c r="E106" s="79"/>
      <c r="F106" s="77" t="s">
        <v>489</v>
      </c>
      <c r="G106" s="77" t="s">
        <v>490</v>
      </c>
      <c r="H106" s="42" t="s">
        <v>11</v>
      </c>
      <c r="I106" s="77" t="s">
        <v>12</v>
      </c>
      <c r="J106" s="77">
        <v>0.5</v>
      </c>
      <c r="K106" s="77">
        <v>1.7809999999999999</v>
      </c>
      <c r="L106" s="45">
        <f t="shared" si="4"/>
        <v>0.9209999999999996</v>
      </c>
      <c r="M106" s="45">
        <v>1.1000000000000001</v>
      </c>
      <c r="N106" s="77">
        <v>0.26</v>
      </c>
    </row>
    <row r="107" spans="1:18" s="77" customFormat="1" x14ac:dyDescent="0.3">
      <c r="A107" s="77" t="s">
        <v>475</v>
      </c>
      <c r="B107" s="77" t="s">
        <v>447</v>
      </c>
      <c r="C107" s="77" t="s">
        <v>461</v>
      </c>
      <c r="D107" s="78">
        <v>42768</v>
      </c>
      <c r="E107" s="79"/>
      <c r="F107" s="77" t="s">
        <v>489</v>
      </c>
      <c r="G107" s="77" t="s">
        <v>490</v>
      </c>
      <c r="H107" s="42" t="s">
        <v>11</v>
      </c>
      <c r="I107" s="77" t="s">
        <v>12</v>
      </c>
      <c r="J107" s="77">
        <v>0.45</v>
      </c>
      <c r="K107" s="77">
        <v>1.7809999999999999</v>
      </c>
      <c r="L107" s="45">
        <f t="shared" si="4"/>
        <v>0.87099999999999977</v>
      </c>
      <c r="M107" s="45">
        <v>1.1000000000000001</v>
      </c>
      <c r="N107" s="77">
        <v>0.26</v>
      </c>
    </row>
    <row r="108" spans="1:18" s="77" customFormat="1" x14ac:dyDescent="0.3">
      <c r="A108" s="77" t="s">
        <v>476</v>
      </c>
      <c r="B108" s="77" t="s">
        <v>447</v>
      </c>
      <c r="C108" s="77" t="s">
        <v>461</v>
      </c>
      <c r="D108" s="78">
        <v>42768</v>
      </c>
      <c r="E108" s="79"/>
      <c r="F108" s="77" t="s">
        <v>489</v>
      </c>
      <c r="G108" s="77" t="s">
        <v>490</v>
      </c>
      <c r="H108" s="42" t="s">
        <v>11</v>
      </c>
      <c r="I108" s="77" t="s">
        <v>12</v>
      </c>
      <c r="J108" s="77">
        <v>0.5</v>
      </c>
      <c r="K108" s="77">
        <v>1.7809999999999999</v>
      </c>
      <c r="L108" s="45">
        <f t="shared" si="4"/>
        <v>0.9209999999999996</v>
      </c>
      <c r="M108" s="45">
        <v>1.1000000000000001</v>
      </c>
      <c r="N108" s="77">
        <v>0.26</v>
      </c>
    </row>
    <row r="109" spans="1:18" s="77" customFormat="1" x14ac:dyDescent="0.3">
      <c r="A109" s="77" t="s">
        <v>477</v>
      </c>
      <c r="B109" s="77" t="s">
        <v>447</v>
      </c>
      <c r="C109" s="77" t="s">
        <v>461</v>
      </c>
      <c r="D109" s="78">
        <v>42768</v>
      </c>
      <c r="E109" s="79"/>
      <c r="F109" s="77" t="s">
        <v>489</v>
      </c>
      <c r="G109" s="77" t="s">
        <v>490</v>
      </c>
      <c r="H109" s="42" t="s">
        <v>11</v>
      </c>
      <c r="I109" s="77" t="s">
        <v>12</v>
      </c>
      <c r="J109" s="77">
        <v>0.5</v>
      </c>
      <c r="K109" s="77">
        <v>1.7809999999999999</v>
      </c>
      <c r="L109" s="45">
        <f t="shared" si="4"/>
        <v>0.9209999999999996</v>
      </c>
      <c r="M109" s="45">
        <v>1.1000000000000001</v>
      </c>
      <c r="N109" s="77">
        <v>0.26</v>
      </c>
    </row>
    <row r="110" spans="1:18" s="77" customFormat="1" x14ac:dyDescent="0.3">
      <c r="A110" s="77" t="s">
        <v>478</v>
      </c>
      <c r="B110" s="77" t="s">
        <v>447</v>
      </c>
      <c r="C110" s="77" t="s">
        <v>461</v>
      </c>
      <c r="D110" s="78">
        <v>42768</v>
      </c>
      <c r="E110" s="79">
        <v>0.59027777777777779</v>
      </c>
      <c r="F110" s="77" t="s">
        <v>489</v>
      </c>
      <c r="G110" s="77" t="s">
        <v>490</v>
      </c>
      <c r="H110" s="42" t="s">
        <v>11</v>
      </c>
      <c r="I110" s="77" t="s">
        <v>12</v>
      </c>
      <c r="J110" s="77">
        <v>0.5</v>
      </c>
      <c r="K110" s="77">
        <v>1.7809999999999999</v>
      </c>
      <c r="L110" s="45">
        <f t="shared" si="4"/>
        <v>0.9209999999999996</v>
      </c>
      <c r="M110" s="45">
        <v>1.1000000000000001</v>
      </c>
      <c r="N110" s="77">
        <v>0.26</v>
      </c>
    </row>
    <row r="111" spans="1:18" s="77" customFormat="1" x14ac:dyDescent="0.3">
      <c r="A111" s="77" t="s">
        <v>455</v>
      </c>
      <c r="B111" s="77" t="s">
        <v>447</v>
      </c>
      <c r="C111" s="77" t="s">
        <v>684</v>
      </c>
      <c r="D111" s="78">
        <v>42768</v>
      </c>
      <c r="E111" s="79">
        <v>0.56597222222222221</v>
      </c>
      <c r="F111" s="77">
        <v>1657711</v>
      </c>
      <c r="G111" s="77">
        <v>5304052</v>
      </c>
      <c r="H111" s="42" t="s">
        <v>11</v>
      </c>
      <c r="I111" s="77" t="s">
        <v>12</v>
      </c>
      <c r="J111" s="77">
        <v>0.52</v>
      </c>
      <c r="K111" s="77">
        <v>1.8480000000000001</v>
      </c>
      <c r="L111" s="45">
        <f t="shared" si="4"/>
        <v>1.0080000000000002</v>
      </c>
      <c r="M111" s="45">
        <v>1.1000000000000001</v>
      </c>
      <c r="N111" s="77">
        <v>0.26</v>
      </c>
      <c r="O111" s="53">
        <f>AVERAGE(L111:L129)</f>
        <v>0.98589473684210527</v>
      </c>
      <c r="P111" s="80"/>
      <c r="Q111" s="53">
        <f>SUM(O111-P111)</f>
        <v>0.98589473684210527</v>
      </c>
      <c r="R111" s="80">
        <f>STDEVA(L111:L129)</f>
        <v>5.9961000970855202E-2</v>
      </c>
    </row>
    <row r="112" spans="1:18" s="77" customFormat="1" x14ac:dyDescent="0.3">
      <c r="A112" s="77" t="s">
        <v>457</v>
      </c>
      <c r="B112" s="77" t="s">
        <v>447</v>
      </c>
      <c r="C112" s="77" t="s">
        <v>684</v>
      </c>
      <c r="D112" s="78">
        <v>42768</v>
      </c>
      <c r="E112" s="79"/>
      <c r="F112" s="77">
        <v>1657711</v>
      </c>
      <c r="G112" s="77">
        <v>5304052</v>
      </c>
      <c r="H112" s="42" t="s">
        <v>11</v>
      </c>
      <c r="I112" s="77" t="s">
        <v>12</v>
      </c>
      <c r="J112" s="77">
        <v>0.42</v>
      </c>
      <c r="K112" s="77">
        <v>1.8480000000000001</v>
      </c>
      <c r="L112" s="45">
        <f t="shared" si="4"/>
        <v>0.90800000000000014</v>
      </c>
      <c r="M112" s="45">
        <v>1.1000000000000001</v>
      </c>
      <c r="N112" s="77">
        <v>0.26</v>
      </c>
    </row>
    <row r="113" spans="1:14" s="77" customFormat="1" x14ac:dyDescent="0.3">
      <c r="A113" s="77" t="s">
        <v>458</v>
      </c>
      <c r="B113" s="77" t="s">
        <v>447</v>
      </c>
      <c r="C113" s="77" t="s">
        <v>684</v>
      </c>
      <c r="D113" s="78">
        <v>42768</v>
      </c>
      <c r="E113" s="79"/>
      <c r="F113" s="77">
        <v>1657711</v>
      </c>
      <c r="G113" s="77">
        <v>5304052</v>
      </c>
      <c r="H113" s="42" t="s">
        <v>11</v>
      </c>
      <c r="I113" s="77" t="s">
        <v>12</v>
      </c>
      <c r="J113" s="77">
        <v>0.5</v>
      </c>
      <c r="K113" s="77">
        <v>1.8480000000000001</v>
      </c>
      <c r="L113" s="45">
        <f t="shared" si="4"/>
        <v>0.98799999999999977</v>
      </c>
      <c r="M113" s="45">
        <v>1.1000000000000001</v>
      </c>
      <c r="N113" s="77">
        <v>0.26</v>
      </c>
    </row>
    <row r="114" spans="1:14" s="77" customFormat="1" x14ac:dyDescent="0.3">
      <c r="A114" s="77" t="s">
        <v>459</v>
      </c>
      <c r="B114" s="77" t="s">
        <v>447</v>
      </c>
      <c r="C114" s="77" t="s">
        <v>684</v>
      </c>
      <c r="D114" s="78">
        <v>42768</v>
      </c>
      <c r="E114" s="79"/>
      <c r="F114" s="77">
        <v>1657711</v>
      </c>
      <c r="G114" s="77">
        <v>5304052</v>
      </c>
      <c r="H114" s="42" t="s">
        <v>11</v>
      </c>
      <c r="I114" s="77" t="s">
        <v>12</v>
      </c>
      <c r="J114" s="77">
        <v>0.53</v>
      </c>
      <c r="K114" s="77">
        <v>1.8480000000000001</v>
      </c>
      <c r="L114" s="45">
        <f t="shared" si="4"/>
        <v>1.018</v>
      </c>
      <c r="M114" s="45">
        <v>1.1000000000000001</v>
      </c>
      <c r="N114" s="77">
        <v>0.26</v>
      </c>
    </row>
    <row r="115" spans="1:14" s="77" customFormat="1" x14ac:dyDescent="0.3">
      <c r="A115" s="77" t="s">
        <v>460</v>
      </c>
      <c r="B115" s="77" t="s">
        <v>447</v>
      </c>
      <c r="C115" s="77" t="s">
        <v>684</v>
      </c>
      <c r="D115" s="78">
        <v>42768</v>
      </c>
      <c r="E115" s="79"/>
      <c r="F115" s="77">
        <v>1657711</v>
      </c>
      <c r="G115" s="77">
        <v>5304052</v>
      </c>
      <c r="H115" s="42" t="s">
        <v>13</v>
      </c>
      <c r="I115" s="77" t="s">
        <v>12</v>
      </c>
      <c r="J115" s="77">
        <v>0.54</v>
      </c>
      <c r="K115" s="77">
        <v>1.8480000000000001</v>
      </c>
      <c r="L115" s="45">
        <f t="shared" si="4"/>
        <v>0.90799999999999981</v>
      </c>
      <c r="M115" s="45">
        <v>1.1000000000000001</v>
      </c>
      <c r="N115" s="45">
        <v>0.38</v>
      </c>
    </row>
    <row r="116" spans="1:14" s="77" customFormat="1" x14ac:dyDescent="0.3">
      <c r="A116" s="77" t="s">
        <v>462</v>
      </c>
      <c r="B116" s="77" t="s">
        <v>447</v>
      </c>
      <c r="C116" s="77" t="s">
        <v>684</v>
      </c>
      <c r="D116" s="78">
        <v>42768</v>
      </c>
      <c r="E116" s="79"/>
      <c r="F116" s="77">
        <v>1657711</v>
      </c>
      <c r="G116" s="77">
        <v>5304052</v>
      </c>
      <c r="H116" s="42" t="s">
        <v>11</v>
      </c>
      <c r="I116" s="77" t="s">
        <v>12</v>
      </c>
      <c r="J116" s="77">
        <v>0.4</v>
      </c>
      <c r="K116" s="77">
        <v>1.8480000000000001</v>
      </c>
      <c r="L116" s="45">
        <f t="shared" si="4"/>
        <v>0.88800000000000012</v>
      </c>
      <c r="M116" s="45">
        <v>1.1000000000000001</v>
      </c>
      <c r="N116" s="77">
        <v>0.26</v>
      </c>
    </row>
    <row r="117" spans="1:14" s="77" customFormat="1" x14ac:dyDescent="0.3">
      <c r="A117" s="77" t="s">
        <v>463</v>
      </c>
      <c r="B117" s="77" t="s">
        <v>447</v>
      </c>
      <c r="C117" s="77" t="s">
        <v>684</v>
      </c>
      <c r="D117" s="78">
        <v>42768</v>
      </c>
      <c r="E117" s="79"/>
      <c r="F117" s="77">
        <v>1657711</v>
      </c>
      <c r="G117" s="77">
        <v>5304052</v>
      </c>
      <c r="H117" s="42" t="s">
        <v>11</v>
      </c>
      <c r="I117" s="77" t="s">
        <v>12</v>
      </c>
      <c r="J117" s="77">
        <v>0.5</v>
      </c>
      <c r="K117" s="77">
        <v>1.8480000000000001</v>
      </c>
      <c r="L117" s="45">
        <f t="shared" si="4"/>
        <v>0.98799999999999977</v>
      </c>
      <c r="M117" s="45">
        <v>1.1000000000000001</v>
      </c>
      <c r="N117" s="77">
        <v>0.26</v>
      </c>
    </row>
    <row r="118" spans="1:14" s="77" customFormat="1" x14ac:dyDescent="0.3">
      <c r="A118" s="77" t="s">
        <v>464</v>
      </c>
      <c r="B118" s="77" t="s">
        <v>447</v>
      </c>
      <c r="C118" s="77" t="s">
        <v>684</v>
      </c>
      <c r="D118" s="78">
        <v>42768</v>
      </c>
      <c r="E118" s="79"/>
      <c r="F118" s="77">
        <v>1657711</v>
      </c>
      <c r="G118" s="77">
        <v>5304052</v>
      </c>
      <c r="H118" s="42" t="s">
        <v>11</v>
      </c>
      <c r="I118" s="77" t="s">
        <v>12</v>
      </c>
      <c r="J118" s="77">
        <v>0.46</v>
      </c>
      <c r="K118" s="77">
        <v>1.8480000000000001</v>
      </c>
      <c r="L118" s="45">
        <f t="shared" si="4"/>
        <v>0.94800000000000018</v>
      </c>
      <c r="M118" s="45">
        <v>1.1000000000000001</v>
      </c>
      <c r="N118" s="77">
        <v>0.26</v>
      </c>
    </row>
    <row r="119" spans="1:14" s="77" customFormat="1" x14ac:dyDescent="0.3">
      <c r="A119" s="77" t="s">
        <v>465</v>
      </c>
      <c r="B119" s="77" t="s">
        <v>447</v>
      </c>
      <c r="C119" s="77" t="s">
        <v>684</v>
      </c>
      <c r="D119" s="78">
        <v>42768</v>
      </c>
      <c r="E119" s="79"/>
      <c r="F119" s="77">
        <v>1657711</v>
      </c>
      <c r="G119" s="77">
        <v>5304052</v>
      </c>
      <c r="H119" s="42" t="s">
        <v>11</v>
      </c>
      <c r="I119" s="77" t="s">
        <v>12</v>
      </c>
      <c r="J119" s="77">
        <v>0.48</v>
      </c>
      <c r="K119" s="77">
        <v>1.8480000000000001</v>
      </c>
      <c r="L119" s="45">
        <f t="shared" si="4"/>
        <v>0.96800000000000019</v>
      </c>
      <c r="M119" s="45">
        <v>1.1000000000000001</v>
      </c>
      <c r="N119" s="77">
        <v>0.26</v>
      </c>
    </row>
    <row r="120" spans="1:14" s="77" customFormat="1" x14ac:dyDescent="0.3">
      <c r="A120" s="77" t="s">
        <v>466</v>
      </c>
      <c r="B120" s="77" t="s">
        <v>447</v>
      </c>
      <c r="C120" s="77" t="s">
        <v>684</v>
      </c>
      <c r="D120" s="78">
        <v>42768</v>
      </c>
      <c r="E120" s="79"/>
      <c r="F120" s="77">
        <v>1657711</v>
      </c>
      <c r="G120" s="77">
        <v>5304052</v>
      </c>
      <c r="H120" s="42" t="s">
        <v>11</v>
      </c>
      <c r="I120" s="77" t="s">
        <v>12</v>
      </c>
      <c r="J120" s="77">
        <v>0.5</v>
      </c>
      <c r="K120" s="77">
        <v>1.8480000000000001</v>
      </c>
      <c r="L120" s="45">
        <f t="shared" si="4"/>
        <v>0.98799999999999977</v>
      </c>
      <c r="M120" s="45">
        <v>1.1000000000000001</v>
      </c>
      <c r="N120" s="77">
        <v>0.26</v>
      </c>
    </row>
    <row r="121" spans="1:14" s="77" customFormat="1" x14ac:dyDescent="0.3">
      <c r="A121" s="77" t="s">
        <v>467</v>
      </c>
      <c r="B121" s="77" t="s">
        <v>447</v>
      </c>
      <c r="C121" s="77" t="s">
        <v>684</v>
      </c>
      <c r="D121" s="78">
        <v>42768</v>
      </c>
      <c r="E121" s="79"/>
      <c r="F121" s="77">
        <v>1657711</v>
      </c>
      <c r="G121" s="77">
        <v>5304052</v>
      </c>
      <c r="H121" s="42" t="s">
        <v>13</v>
      </c>
      <c r="I121" s="77" t="s">
        <v>12</v>
      </c>
      <c r="J121" s="77">
        <v>0.6</v>
      </c>
      <c r="K121" s="77">
        <v>1.8480000000000001</v>
      </c>
      <c r="L121" s="45">
        <f t="shared" si="4"/>
        <v>0.96799999999999986</v>
      </c>
      <c r="M121" s="45">
        <v>1.1000000000000001</v>
      </c>
      <c r="N121" s="45">
        <v>0.38</v>
      </c>
    </row>
    <row r="122" spans="1:14" s="77" customFormat="1" x14ac:dyDescent="0.3">
      <c r="A122" s="77" t="s">
        <v>468</v>
      </c>
      <c r="B122" s="77" t="s">
        <v>447</v>
      </c>
      <c r="C122" s="77" t="s">
        <v>684</v>
      </c>
      <c r="D122" s="78">
        <v>42768</v>
      </c>
      <c r="E122" s="79"/>
      <c r="F122" s="77">
        <v>1657711</v>
      </c>
      <c r="G122" s="77">
        <v>5304052</v>
      </c>
      <c r="H122" s="42" t="s">
        <v>13</v>
      </c>
      <c r="I122" s="77" t="s">
        <v>12</v>
      </c>
      <c r="J122" s="77">
        <v>0.6</v>
      </c>
      <c r="K122" s="77">
        <v>1.8480000000000001</v>
      </c>
      <c r="L122" s="45">
        <f t="shared" si="4"/>
        <v>0.96799999999999986</v>
      </c>
      <c r="M122" s="45">
        <v>1.1000000000000001</v>
      </c>
      <c r="N122" s="45">
        <v>0.38</v>
      </c>
    </row>
    <row r="123" spans="1:14" s="77" customFormat="1" x14ac:dyDescent="0.3">
      <c r="A123" s="77" t="s">
        <v>469</v>
      </c>
      <c r="B123" s="77" t="s">
        <v>447</v>
      </c>
      <c r="C123" s="77" t="s">
        <v>684</v>
      </c>
      <c r="D123" s="78">
        <v>42768</v>
      </c>
      <c r="E123" s="79"/>
      <c r="F123" s="77">
        <v>1657711</v>
      </c>
      <c r="G123" s="77">
        <v>5304052</v>
      </c>
      <c r="H123" s="42" t="s">
        <v>11</v>
      </c>
      <c r="I123" s="77" t="s">
        <v>12</v>
      </c>
      <c r="J123" s="77">
        <v>0.5</v>
      </c>
      <c r="K123" s="77">
        <v>1.8480000000000001</v>
      </c>
      <c r="L123" s="45">
        <f t="shared" si="4"/>
        <v>0.98799999999999977</v>
      </c>
      <c r="M123" s="45">
        <v>1.1000000000000001</v>
      </c>
      <c r="N123" s="77">
        <v>0.26</v>
      </c>
    </row>
    <row r="124" spans="1:14" s="77" customFormat="1" x14ac:dyDescent="0.3">
      <c r="A124" s="77" t="s">
        <v>470</v>
      </c>
      <c r="B124" s="77" t="s">
        <v>447</v>
      </c>
      <c r="C124" s="77" t="s">
        <v>684</v>
      </c>
      <c r="D124" s="78">
        <v>42768</v>
      </c>
      <c r="E124" s="79"/>
      <c r="F124" s="77">
        <v>1657711</v>
      </c>
      <c r="G124" s="77">
        <v>5304052</v>
      </c>
      <c r="H124" s="42" t="s">
        <v>13</v>
      </c>
      <c r="I124" s="77" t="s">
        <v>12</v>
      </c>
      <c r="J124" s="77">
        <v>0.53</v>
      </c>
      <c r="K124" s="77">
        <v>1.8480000000000001</v>
      </c>
      <c r="L124" s="45">
        <f t="shared" si="4"/>
        <v>0.89800000000000002</v>
      </c>
      <c r="M124" s="45">
        <v>1.1000000000000001</v>
      </c>
      <c r="N124" s="45">
        <v>0.38</v>
      </c>
    </row>
    <row r="125" spans="1:14" s="77" customFormat="1" x14ac:dyDescent="0.3">
      <c r="A125" s="77" t="s">
        <v>471</v>
      </c>
      <c r="B125" s="77" t="s">
        <v>447</v>
      </c>
      <c r="C125" s="77" t="s">
        <v>684</v>
      </c>
      <c r="D125" s="78">
        <v>42768</v>
      </c>
      <c r="E125" s="79"/>
      <c r="F125" s="77">
        <v>1657711</v>
      </c>
      <c r="G125" s="77">
        <v>5304052</v>
      </c>
      <c r="H125" s="42" t="s">
        <v>11</v>
      </c>
      <c r="I125" s="77" t="s">
        <v>12</v>
      </c>
      <c r="J125" s="77">
        <v>0.6</v>
      </c>
      <c r="K125" s="77">
        <v>1.8480000000000001</v>
      </c>
      <c r="L125" s="45">
        <f t="shared" si="4"/>
        <v>1.0879999999999999</v>
      </c>
      <c r="M125" s="45">
        <v>1.1000000000000001</v>
      </c>
      <c r="N125" s="77">
        <v>0.26</v>
      </c>
    </row>
    <row r="126" spans="1:14" s="77" customFormat="1" x14ac:dyDescent="0.3">
      <c r="A126" s="77" t="s">
        <v>472</v>
      </c>
      <c r="B126" s="77" t="s">
        <v>447</v>
      </c>
      <c r="C126" s="77" t="s">
        <v>684</v>
      </c>
      <c r="D126" s="78">
        <v>42768</v>
      </c>
      <c r="E126" s="79"/>
      <c r="F126" s="77">
        <v>1657711</v>
      </c>
      <c r="G126" s="77">
        <v>5304052</v>
      </c>
      <c r="H126" s="42" t="s">
        <v>13</v>
      </c>
      <c r="I126" s="77" t="s">
        <v>12</v>
      </c>
      <c r="J126" s="77">
        <v>0.65</v>
      </c>
      <c r="K126" s="77">
        <v>1.8480000000000001</v>
      </c>
      <c r="L126" s="45">
        <f t="shared" si="4"/>
        <v>1.0180000000000002</v>
      </c>
      <c r="M126" s="45">
        <v>1.1000000000000001</v>
      </c>
      <c r="N126" s="45">
        <v>0.38</v>
      </c>
    </row>
    <row r="127" spans="1:14" s="77" customFormat="1" x14ac:dyDescent="0.3">
      <c r="A127" s="77" t="s">
        <v>474</v>
      </c>
      <c r="B127" s="77" t="s">
        <v>447</v>
      </c>
      <c r="C127" s="77" t="s">
        <v>684</v>
      </c>
      <c r="D127" s="78">
        <v>42768</v>
      </c>
      <c r="E127" s="79"/>
      <c r="F127" s="77">
        <v>1657711</v>
      </c>
      <c r="G127" s="77">
        <v>5304052</v>
      </c>
      <c r="H127" s="42" t="s">
        <v>11</v>
      </c>
      <c r="I127" s="77" t="s">
        <v>12</v>
      </c>
      <c r="J127" s="77">
        <v>0.55000000000000004</v>
      </c>
      <c r="K127" s="77">
        <v>1.8480000000000001</v>
      </c>
      <c r="L127" s="45">
        <f t="shared" si="4"/>
        <v>1.038</v>
      </c>
      <c r="M127" s="45">
        <v>1.1000000000000001</v>
      </c>
      <c r="N127" s="77">
        <v>0.26</v>
      </c>
    </row>
    <row r="128" spans="1:14" s="77" customFormat="1" x14ac:dyDescent="0.3">
      <c r="A128" s="77" t="s">
        <v>475</v>
      </c>
      <c r="B128" s="77" t="s">
        <v>447</v>
      </c>
      <c r="C128" s="77" t="s">
        <v>684</v>
      </c>
      <c r="D128" s="78">
        <v>42768</v>
      </c>
      <c r="E128" s="79"/>
      <c r="F128" s="77">
        <v>1657711</v>
      </c>
      <c r="G128" s="77">
        <v>5304052</v>
      </c>
      <c r="H128" s="42" t="s">
        <v>13</v>
      </c>
      <c r="I128" s="77" t="s">
        <v>491</v>
      </c>
      <c r="J128" s="77">
        <v>0.7</v>
      </c>
      <c r="K128" s="77">
        <v>1.8480000000000001</v>
      </c>
      <c r="L128" s="45">
        <f t="shared" si="4"/>
        <v>1.0680000000000001</v>
      </c>
      <c r="M128" s="45">
        <v>1.1000000000000001</v>
      </c>
      <c r="N128" s="45">
        <v>0.38</v>
      </c>
    </row>
    <row r="129" spans="1:18" s="77" customFormat="1" x14ac:dyDescent="0.3">
      <c r="A129" s="77" t="s">
        <v>476</v>
      </c>
      <c r="B129" s="77" t="s">
        <v>447</v>
      </c>
      <c r="C129" s="77" t="s">
        <v>684</v>
      </c>
      <c r="D129" s="78">
        <v>42768</v>
      </c>
      <c r="E129" s="79">
        <v>0.58680555555555558</v>
      </c>
      <c r="F129" s="77">
        <v>1657711</v>
      </c>
      <c r="G129" s="77">
        <v>5304052</v>
      </c>
      <c r="H129" s="42" t="s">
        <v>11</v>
      </c>
      <c r="I129" s="77" t="s">
        <v>12</v>
      </c>
      <c r="J129" s="77">
        <v>0.6</v>
      </c>
      <c r="K129" s="77">
        <v>1.8480000000000001</v>
      </c>
      <c r="L129" s="45">
        <f t="shared" si="4"/>
        <v>1.0879999999999999</v>
      </c>
      <c r="M129" s="45">
        <v>1.1000000000000001</v>
      </c>
      <c r="N129" s="77">
        <v>0.26</v>
      </c>
    </row>
    <row r="130" spans="1:18" s="77" customFormat="1" x14ac:dyDescent="0.3">
      <c r="A130" s="77">
        <v>1</v>
      </c>
      <c r="B130" s="77" t="s">
        <v>202</v>
      </c>
      <c r="C130" s="77" t="s">
        <v>461</v>
      </c>
      <c r="D130" s="78">
        <v>42774</v>
      </c>
      <c r="E130" s="79">
        <v>0.8354166666666667</v>
      </c>
      <c r="F130" s="77">
        <v>1657845</v>
      </c>
      <c r="G130" s="77">
        <v>5304112</v>
      </c>
      <c r="H130" s="42" t="s">
        <v>13</v>
      </c>
      <c r="I130" s="77" t="s">
        <v>12</v>
      </c>
      <c r="J130" s="77">
        <v>1.35</v>
      </c>
      <c r="K130" s="77">
        <v>1.2809999999999999</v>
      </c>
      <c r="L130" s="45">
        <f t="shared" si="4"/>
        <v>1.1510000000000002</v>
      </c>
      <c r="M130" s="45">
        <v>1.1000000000000001</v>
      </c>
      <c r="N130" s="45">
        <v>0.38</v>
      </c>
      <c r="O130" s="53">
        <f>AVERAGE(L130:L144)</f>
        <v>1.1849999999999998</v>
      </c>
      <c r="P130" s="80"/>
      <c r="Q130" s="53">
        <f>SUM(O130-P130)</f>
        <v>1.1849999999999998</v>
      </c>
      <c r="R130" s="80">
        <f>STDEVA(L130:L144)</f>
        <v>7.8812616828960624E-2</v>
      </c>
    </row>
    <row r="131" spans="1:18" s="77" customFormat="1" x14ac:dyDescent="0.3">
      <c r="A131" s="77">
        <v>2</v>
      </c>
      <c r="B131" s="77" t="s">
        <v>202</v>
      </c>
      <c r="C131" s="77" t="s">
        <v>461</v>
      </c>
      <c r="D131" s="78">
        <v>42774</v>
      </c>
      <c r="F131" s="77" t="s">
        <v>492</v>
      </c>
      <c r="G131" s="77" t="s">
        <v>493</v>
      </c>
      <c r="H131" s="42" t="s">
        <v>13</v>
      </c>
      <c r="I131" s="77" t="s">
        <v>12</v>
      </c>
      <c r="J131" s="77">
        <v>1.55</v>
      </c>
      <c r="K131" s="77">
        <v>1.2809999999999999</v>
      </c>
      <c r="L131" s="45">
        <f t="shared" si="4"/>
        <v>1.351</v>
      </c>
      <c r="M131" s="45">
        <v>1.1000000000000001</v>
      </c>
      <c r="N131" s="45">
        <v>0.38</v>
      </c>
    </row>
    <row r="132" spans="1:18" s="77" customFormat="1" x14ac:dyDescent="0.3">
      <c r="A132" s="77">
        <v>3</v>
      </c>
      <c r="B132" s="77" t="s">
        <v>202</v>
      </c>
      <c r="C132" s="77" t="s">
        <v>461</v>
      </c>
      <c r="D132" s="78">
        <v>42774</v>
      </c>
      <c r="F132" s="77" t="s">
        <v>492</v>
      </c>
      <c r="G132" s="77" t="s">
        <v>493</v>
      </c>
      <c r="H132" s="42" t="s">
        <v>13</v>
      </c>
      <c r="I132" s="77" t="s">
        <v>12</v>
      </c>
      <c r="J132" s="77">
        <v>1.4</v>
      </c>
      <c r="K132" s="77">
        <v>1.2809999999999999</v>
      </c>
      <c r="L132" s="45">
        <f t="shared" si="4"/>
        <v>1.2010000000000001</v>
      </c>
      <c r="M132" s="45">
        <v>1.1000000000000001</v>
      </c>
      <c r="N132" s="45">
        <v>0.38</v>
      </c>
    </row>
    <row r="133" spans="1:18" s="77" customFormat="1" x14ac:dyDescent="0.3">
      <c r="A133" s="77">
        <v>4</v>
      </c>
      <c r="B133" s="77" t="s">
        <v>202</v>
      </c>
      <c r="C133" s="77" t="s">
        <v>461</v>
      </c>
      <c r="D133" s="78">
        <v>42774</v>
      </c>
      <c r="F133" s="77" t="s">
        <v>492</v>
      </c>
      <c r="G133" s="77" t="s">
        <v>493</v>
      </c>
      <c r="H133" s="42" t="s">
        <v>13</v>
      </c>
      <c r="I133" s="77" t="s">
        <v>12</v>
      </c>
      <c r="J133" s="77">
        <v>1.35</v>
      </c>
      <c r="K133" s="77">
        <v>1.2809999999999999</v>
      </c>
      <c r="L133" s="45">
        <f t="shared" si="4"/>
        <v>1.1510000000000002</v>
      </c>
      <c r="M133" s="45">
        <v>1.1000000000000001</v>
      </c>
      <c r="N133" s="45">
        <v>0.38</v>
      </c>
    </row>
    <row r="134" spans="1:18" s="77" customFormat="1" x14ac:dyDescent="0.3">
      <c r="A134" s="77">
        <v>5</v>
      </c>
      <c r="B134" s="77" t="s">
        <v>202</v>
      </c>
      <c r="C134" s="77" t="s">
        <v>461</v>
      </c>
      <c r="D134" s="78">
        <v>42774</v>
      </c>
      <c r="F134" s="77" t="s">
        <v>492</v>
      </c>
      <c r="G134" s="77" t="s">
        <v>493</v>
      </c>
      <c r="H134" s="42" t="s">
        <v>13</v>
      </c>
      <c r="I134" s="77" t="s">
        <v>12</v>
      </c>
      <c r="J134" s="77">
        <v>1.25</v>
      </c>
      <c r="K134" s="77">
        <v>1.2809999999999999</v>
      </c>
      <c r="L134" s="45">
        <f t="shared" si="4"/>
        <v>1.0509999999999997</v>
      </c>
      <c r="M134" s="45">
        <v>1.1000000000000001</v>
      </c>
      <c r="N134" s="45">
        <v>0.38</v>
      </c>
    </row>
    <row r="135" spans="1:18" s="77" customFormat="1" x14ac:dyDescent="0.3">
      <c r="A135" s="77">
        <v>6</v>
      </c>
      <c r="B135" s="77" t="s">
        <v>202</v>
      </c>
      <c r="C135" s="77" t="s">
        <v>461</v>
      </c>
      <c r="D135" s="78">
        <v>42774</v>
      </c>
      <c r="F135" s="77" t="s">
        <v>492</v>
      </c>
      <c r="G135" s="77" t="s">
        <v>493</v>
      </c>
      <c r="H135" s="42" t="s">
        <v>13</v>
      </c>
      <c r="I135" s="77" t="s">
        <v>12</v>
      </c>
      <c r="J135" s="77">
        <v>1.3</v>
      </c>
      <c r="K135" s="77">
        <v>1.2809999999999999</v>
      </c>
      <c r="L135" s="45">
        <f t="shared" si="4"/>
        <v>1.101</v>
      </c>
      <c r="M135" s="45">
        <v>1.1000000000000001</v>
      </c>
      <c r="N135" s="45">
        <v>0.38</v>
      </c>
    </row>
    <row r="136" spans="1:18" s="77" customFormat="1" x14ac:dyDescent="0.3">
      <c r="A136" s="77">
        <v>7</v>
      </c>
      <c r="B136" s="77" t="s">
        <v>202</v>
      </c>
      <c r="C136" s="77" t="s">
        <v>461</v>
      </c>
      <c r="D136" s="78">
        <v>42774</v>
      </c>
      <c r="F136" s="77" t="s">
        <v>492</v>
      </c>
      <c r="G136" s="77" t="s">
        <v>493</v>
      </c>
      <c r="H136" s="42" t="s">
        <v>13</v>
      </c>
      <c r="I136" s="77" t="s">
        <v>12</v>
      </c>
      <c r="J136" s="77">
        <v>1.45</v>
      </c>
      <c r="K136" s="77">
        <v>1.2809999999999999</v>
      </c>
      <c r="L136" s="45">
        <f t="shared" si="4"/>
        <v>1.2509999999999999</v>
      </c>
      <c r="M136" s="45">
        <v>1.1000000000000001</v>
      </c>
      <c r="N136" s="45">
        <v>0.38</v>
      </c>
    </row>
    <row r="137" spans="1:18" s="77" customFormat="1" x14ac:dyDescent="0.3">
      <c r="A137" s="77">
        <v>8</v>
      </c>
      <c r="B137" s="77" t="s">
        <v>202</v>
      </c>
      <c r="C137" s="77" t="s">
        <v>461</v>
      </c>
      <c r="D137" s="78">
        <v>42774</v>
      </c>
      <c r="F137" s="77" t="s">
        <v>492</v>
      </c>
      <c r="G137" s="77" t="s">
        <v>493</v>
      </c>
      <c r="H137" s="42" t="s">
        <v>13</v>
      </c>
      <c r="I137" s="77" t="s">
        <v>12</v>
      </c>
      <c r="J137" s="77">
        <v>1.35</v>
      </c>
      <c r="K137" s="77">
        <v>1.2809999999999999</v>
      </c>
      <c r="L137" s="45">
        <f t="shared" si="4"/>
        <v>1.1510000000000002</v>
      </c>
      <c r="M137" s="45">
        <v>1.1000000000000001</v>
      </c>
      <c r="N137" s="45">
        <v>0.38</v>
      </c>
    </row>
    <row r="138" spans="1:18" s="77" customFormat="1" x14ac:dyDescent="0.3">
      <c r="A138" s="77">
        <v>9</v>
      </c>
      <c r="B138" s="77" t="s">
        <v>202</v>
      </c>
      <c r="C138" s="77" t="s">
        <v>461</v>
      </c>
      <c r="D138" s="78">
        <v>42774</v>
      </c>
      <c r="F138" s="77" t="s">
        <v>492</v>
      </c>
      <c r="G138" s="77" t="s">
        <v>493</v>
      </c>
      <c r="H138" s="42" t="s">
        <v>13</v>
      </c>
      <c r="I138" s="77" t="s">
        <v>12</v>
      </c>
      <c r="J138" s="77">
        <v>1.33</v>
      </c>
      <c r="K138" s="77">
        <v>1.2809999999999999</v>
      </c>
      <c r="L138" s="45">
        <f t="shared" si="4"/>
        <v>1.1309999999999998</v>
      </c>
      <c r="M138" s="45">
        <v>1.1000000000000001</v>
      </c>
      <c r="N138" s="45">
        <v>0.38</v>
      </c>
    </row>
    <row r="139" spans="1:18" s="77" customFormat="1" x14ac:dyDescent="0.3">
      <c r="A139" s="77">
        <v>10</v>
      </c>
      <c r="B139" s="77" t="s">
        <v>202</v>
      </c>
      <c r="C139" s="77" t="s">
        <v>461</v>
      </c>
      <c r="D139" s="78">
        <v>42774</v>
      </c>
      <c r="F139" s="77" t="s">
        <v>492</v>
      </c>
      <c r="G139" s="77" t="s">
        <v>493</v>
      </c>
      <c r="H139" s="42" t="s">
        <v>13</v>
      </c>
      <c r="I139" s="77" t="s">
        <v>456</v>
      </c>
      <c r="J139" s="77">
        <v>1.4</v>
      </c>
      <c r="K139" s="77">
        <v>1.2809999999999999</v>
      </c>
      <c r="L139" s="45">
        <f t="shared" si="4"/>
        <v>1.2010000000000001</v>
      </c>
      <c r="M139" s="45">
        <v>1.1000000000000001</v>
      </c>
      <c r="N139" s="45">
        <v>0.38</v>
      </c>
    </row>
    <row r="140" spans="1:18" s="77" customFormat="1" x14ac:dyDescent="0.3">
      <c r="A140" s="77">
        <v>11</v>
      </c>
      <c r="B140" s="77" t="s">
        <v>202</v>
      </c>
      <c r="C140" s="77" t="s">
        <v>461</v>
      </c>
      <c r="D140" s="78">
        <v>42774</v>
      </c>
      <c r="F140" s="77" t="s">
        <v>492</v>
      </c>
      <c r="G140" s="77" t="s">
        <v>493</v>
      </c>
      <c r="H140" s="42" t="s">
        <v>13</v>
      </c>
      <c r="I140" s="77" t="s">
        <v>456</v>
      </c>
      <c r="J140" s="77">
        <v>1.3</v>
      </c>
      <c r="K140" s="77">
        <v>1.2809999999999999</v>
      </c>
      <c r="L140" s="45">
        <f t="shared" si="4"/>
        <v>1.101</v>
      </c>
      <c r="M140" s="45">
        <v>1.1000000000000001</v>
      </c>
      <c r="N140" s="45">
        <v>0.38</v>
      </c>
    </row>
    <row r="141" spans="1:18" s="77" customFormat="1" x14ac:dyDescent="0.3">
      <c r="A141" s="77">
        <v>12</v>
      </c>
      <c r="B141" s="77" t="s">
        <v>202</v>
      </c>
      <c r="C141" s="77" t="s">
        <v>461</v>
      </c>
      <c r="D141" s="78">
        <v>42774</v>
      </c>
      <c r="F141" s="77" t="s">
        <v>492</v>
      </c>
      <c r="G141" s="77" t="s">
        <v>493</v>
      </c>
      <c r="H141" s="42" t="s">
        <v>13</v>
      </c>
      <c r="I141" s="77" t="s">
        <v>456</v>
      </c>
      <c r="J141" s="77">
        <v>1.4</v>
      </c>
      <c r="K141" s="77">
        <v>1.2809999999999999</v>
      </c>
      <c r="L141" s="45">
        <f t="shared" si="4"/>
        <v>1.2010000000000001</v>
      </c>
      <c r="M141" s="45">
        <v>1.1000000000000001</v>
      </c>
      <c r="N141" s="45">
        <v>0.38</v>
      </c>
    </row>
    <row r="142" spans="1:18" s="77" customFormat="1" x14ac:dyDescent="0.3">
      <c r="A142" s="77">
        <v>13</v>
      </c>
      <c r="B142" s="77" t="s">
        <v>202</v>
      </c>
      <c r="C142" s="77" t="s">
        <v>461</v>
      </c>
      <c r="D142" s="78">
        <v>42774</v>
      </c>
      <c r="F142" s="77" t="s">
        <v>492</v>
      </c>
      <c r="G142" s="77" t="s">
        <v>493</v>
      </c>
      <c r="H142" s="42" t="s">
        <v>13</v>
      </c>
      <c r="I142" s="77" t="s">
        <v>456</v>
      </c>
      <c r="J142" s="77">
        <v>1.5</v>
      </c>
      <c r="K142" s="77">
        <v>1.2809999999999999</v>
      </c>
      <c r="L142" s="45">
        <f t="shared" si="4"/>
        <v>1.3009999999999997</v>
      </c>
      <c r="M142" s="45">
        <v>1.1000000000000001</v>
      </c>
      <c r="N142" s="45">
        <v>0.38</v>
      </c>
    </row>
    <row r="143" spans="1:18" s="77" customFormat="1" x14ac:dyDescent="0.3">
      <c r="A143" s="77">
        <v>14</v>
      </c>
      <c r="B143" s="77" t="s">
        <v>202</v>
      </c>
      <c r="C143" s="77" t="s">
        <v>461</v>
      </c>
      <c r="D143" s="78">
        <v>42774</v>
      </c>
      <c r="F143" s="77" t="s">
        <v>492</v>
      </c>
      <c r="G143" s="77" t="s">
        <v>493</v>
      </c>
      <c r="H143" s="42" t="s">
        <v>13</v>
      </c>
      <c r="I143" s="77" t="s">
        <v>456</v>
      </c>
      <c r="J143" s="77">
        <v>1.4</v>
      </c>
      <c r="K143" s="77">
        <v>1.2809999999999999</v>
      </c>
      <c r="L143" s="45">
        <f t="shared" si="4"/>
        <v>1.2010000000000001</v>
      </c>
      <c r="M143" s="45">
        <v>1.1000000000000001</v>
      </c>
      <c r="N143" s="45">
        <v>0.38</v>
      </c>
    </row>
    <row r="144" spans="1:18" s="77" customFormat="1" x14ac:dyDescent="0.3">
      <c r="A144" s="77">
        <v>15</v>
      </c>
      <c r="B144" s="77" t="s">
        <v>202</v>
      </c>
      <c r="C144" s="77" t="s">
        <v>461</v>
      </c>
      <c r="D144" s="78">
        <v>42774</v>
      </c>
      <c r="E144" s="79">
        <v>0.85069444444444453</v>
      </c>
      <c r="F144" s="77" t="s">
        <v>492</v>
      </c>
      <c r="G144" s="77" t="s">
        <v>493</v>
      </c>
      <c r="H144" s="42" t="s">
        <v>13</v>
      </c>
      <c r="I144" s="77" t="s">
        <v>456</v>
      </c>
      <c r="J144" s="77">
        <v>1.43</v>
      </c>
      <c r="K144" s="77">
        <v>1.2809999999999999</v>
      </c>
      <c r="L144" s="45">
        <f t="shared" si="4"/>
        <v>1.2309999999999999</v>
      </c>
      <c r="M144" s="45">
        <v>1.1000000000000001</v>
      </c>
      <c r="N144" s="45">
        <v>0.38</v>
      </c>
    </row>
    <row r="145" spans="1:18" s="77" customFormat="1" x14ac:dyDescent="0.3">
      <c r="A145" s="77">
        <v>1</v>
      </c>
      <c r="B145" s="77" t="s">
        <v>202</v>
      </c>
      <c r="C145" s="77" t="s">
        <v>494</v>
      </c>
      <c r="D145" s="78">
        <v>42774</v>
      </c>
      <c r="E145" s="79">
        <v>0.8354166666666667</v>
      </c>
      <c r="F145" s="77">
        <v>1657914</v>
      </c>
      <c r="G145" s="77">
        <v>5304122</v>
      </c>
      <c r="H145" s="85" t="s">
        <v>11</v>
      </c>
      <c r="I145" s="77" t="s">
        <v>456</v>
      </c>
      <c r="J145" s="77">
        <v>1.1499999999999999</v>
      </c>
      <c r="K145" s="77">
        <v>1.2809999999999999</v>
      </c>
      <c r="L145" s="45">
        <f t="shared" si="4"/>
        <v>1.071</v>
      </c>
      <c r="M145" s="45">
        <v>1.1000000000000001</v>
      </c>
      <c r="N145" s="45">
        <v>0.26</v>
      </c>
      <c r="O145" s="53">
        <f>AVERAGE(L145:L161)</f>
        <v>1.1174705882352942</v>
      </c>
      <c r="P145" s="80"/>
      <c r="Q145" s="53">
        <f>SUM(O145-P145)</f>
        <v>1.1174705882352942</v>
      </c>
      <c r="R145" s="80">
        <f>STDEVA(L145:L161)</f>
        <v>0.10635678025345796</v>
      </c>
    </row>
    <row r="146" spans="1:18" s="77" customFormat="1" x14ac:dyDescent="0.3">
      <c r="A146" s="77">
        <v>2</v>
      </c>
      <c r="B146" s="77" t="s">
        <v>202</v>
      </c>
      <c r="C146" s="77" t="s">
        <v>494</v>
      </c>
      <c r="D146" s="78">
        <v>42774</v>
      </c>
      <c r="F146" s="77">
        <v>1657914</v>
      </c>
      <c r="G146" s="77">
        <v>5304122</v>
      </c>
      <c r="H146" s="85" t="s">
        <v>11</v>
      </c>
      <c r="I146" s="77" t="s">
        <v>456</v>
      </c>
      <c r="J146" s="77">
        <v>1.2</v>
      </c>
      <c r="K146" s="77">
        <v>1.2809999999999999</v>
      </c>
      <c r="L146" s="45">
        <f t="shared" si="4"/>
        <v>1.1209999999999998</v>
      </c>
      <c r="M146" s="45">
        <v>1.1000000000000001</v>
      </c>
      <c r="N146" s="45">
        <v>0.26</v>
      </c>
      <c r="O146" s="80"/>
      <c r="P146" s="80"/>
      <c r="Q146" s="80"/>
      <c r="R146" s="80"/>
    </row>
    <row r="147" spans="1:18" s="77" customFormat="1" x14ac:dyDescent="0.3">
      <c r="A147" s="77">
        <v>3</v>
      </c>
      <c r="B147" s="77" t="s">
        <v>202</v>
      </c>
      <c r="C147" s="77" t="s">
        <v>494</v>
      </c>
      <c r="D147" s="78">
        <v>42774</v>
      </c>
      <c r="F147" s="77">
        <v>1657914</v>
      </c>
      <c r="G147" s="77">
        <v>5304122</v>
      </c>
      <c r="H147" s="85" t="s">
        <v>11</v>
      </c>
      <c r="I147" s="77" t="s">
        <v>456</v>
      </c>
      <c r="J147" s="77">
        <v>1.25</v>
      </c>
      <c r="K147" s="77">
        <v>1.2809999999999999</v>
      </c>
      <c r="L147" s="45">
        <f t="shared" si="4"/>
        <v>1.1709999999999996</v>
      </c>
      <c r="M147" s="45">
        <v>1.1000000000000001</v>
      </c>
      <c r="N147" s="45">
        <v>0.26</v>
      </c>
      <c r="O147" s="80"/>
      <c r="P147" s="80"/>
      <c r="Q147" s="80"/>
      <c r="R147" s="80"/>
    </row>
    <row r="148" spans="1:18" s="77" customFormat="1" x14ac:dyDescent="0.3">
      <c r="A148" s="77">
        <v>4</v>
      </c>
      <c r="B148" s="77" t="s">
        <v>202</v>
      </c>
      <c r="C148" s="77" t="s">
        <v>494</v>
      </c>
      <c r="D148" s="78">
        <v>42774</v>
      </c>
      <c r="F148" s="77">
        <v>1657914</v>
      </c>
      <c r="G148" s="77">
        <v>5304122</v>
      </c>
      <c r="H148" s="85" t="s">
        <v>11</v>
      </c>
      <c r="I148" s="77" t="s">
        <v>456</v>
      </c>
      <c r="J148" s="77">
        <v>1.1499999999999999</v>
      </c>
      <c r="K148" s="77">
        <v>1.2809999999999999</v>
      </c>
      <c r="L148" s="45">
        <f t="shared" si="4"/>
        <v>1.071</v>
      </c>
      <c r="M148" s="45">
        <v>1.1000000000000001</v>
      </c>
      <c r="N148" s="45">
        <v>0.26</v>
      </c>
      <c r="O148" s="80"/>
      <c r="P148" s="80"/>
      <c r="Q148" s="80"/>
      <c r="R148" s="80"/>
    </row>
    <row r="149" spans="1:18" s="77" customFormat="1" x14ac:dyDescent="0.3">
      <c r="A149" s="77">
        <v>5</v>
      </c>
      <c r="B149" s="77" t="s">
        <v>202</v>
      </c>
      <c r="C149" s="77" t="s">
        <v>494</v>
      </c>
      <c r="D149" s="78">
        <v>42774</v>
      </c>
      <c r="F149" s="77">
        <v>1657914</v>
      </c>
      <c r="G149" s="77">
        <v>5304122</v>
      </c>
      <c r="H149" s="85" t="s">
        <v>11</v>
      </c>
      <c r="I149" s="77" t="s">
        <v>456</v>
      </c>
      <c r="J149" s="77">
        <v>1.1000000000000001</v>
      </c>
      <c r="K149" s="77">
        <v>1.2809999999999999</v>
      </c>
      <c r="L149" s="45">
        <f t="shared" si="4"/>
        <v>1.0210000000000001</v>
      </c>
      <c r="M149" s="45">
        <v>1.1000000000000001</v>
      </c>
      <c r="N149" s="45">
        <v>0.26</v>
      </c>
      <c r="O149" s="80"/>
      <c r="P149" s="80"/>
      <c r="Q149" s="80"/>
      <c r="R149" s="80"/>
    </row>
    <row r="150" spans="1:18" s="77" customFormat="1" x14ac:dyDescent="0.3">
      <c r="A150" s="77">
        <v>6</v>
      </c>
      <c r="B150" s="77" t="s">
        <v>202</v>
      </c>
      <c r="C150" s="77" t="s">
        <v>494</v>
      </c>
      <c r="D150" s="78">
        <v>42774</v>
      </c>
      <c r="F150" s="77">
        <v>1657914</v>
      </c>
      <c r="G150" s="77">
        <v>5304122</v>
      </c>
      <c r="H150" s="85" t="s">
        <v>11</v>
      </c>
      <c r="I150" s="77" t="s">
        <v>456</v>
      </c>
      <c r="J150" s="77">
        <v>1.2</v>
      </c>
      <c r="K150" s="77">
        <v>1.2809999999999999</v>
      </c>
      <c r="L150" s="45">
        <f t="shared" si="4"/>
        <v>1.1209999999999998</v>
      </c>
      <c r="M150" s="45">
        <v>1.1000000000000001</v>
      </c>
      <c r="N150" s="45">
        <v>0.26</v>
      </c>
      <c r="O150" s="80"/>
      <c r="P150" s="80"/>
      <c r="Q150" s="80"/>
      <c r="R150" s="80"/>
    </row>
    <row r="151" spans="1:18" s="77" customFormat="1" x14ac:dyDescent="0.3">
      <c r="A151" s="77">
        <v>7</v>
      </c>
      <c r="B151" s="77" t="s">
        <v>202</v>
      </c>
      <c r="C151" s="77" t="s">
        <v>494</v>
      </c>
      <c r="D151" s="78">
        <v>42774</v>
      </c>
      <c r="F151" s="77">
        <v>1657914</v>
      </c>
      <c r="G151" s="77">
        <v>5304122</v>
      </c>
      <c r="H151" s="85" t="s">
        <v>11</v>
      </c>
      <c r="I151" s="77" t="s">
        <v>456</v>
      </c>
      <c r="J151" s="77">
        <v>1.1499999999999999</v>
      </c>
      <c r="K151" s="77">
        <v>1.2809999999999999</v>
      </c>
      <c r="L151" s="45">
        <f t="shared" si="4"/>
        <v>1.071</v>
      </c>
      <c r="M151" s="45">
        <v>1.1000000000000001</v>
      </c>
      <c r="N151" s="45">
        <v>0.26</v>
      </c>
      <c r="O151" s="80"/>
      <c r="P151" s="80"/>
      <c r="Q151" s="80"/>
      <c r="R151" s="80"/>
    </row>
    <row r="152" spans="1:18" s="77" customFormat="1" x14ac:dyDescent="0.3">
      <c r="A152" s="77">
        <v>10</v>
      </c>
      <c r="B152" s="77" t="s">
        <v>202</v>
      </c>
      <c r="C152" s="77" t="s">
        <v>494</v>
      </c>
      <c r="D152" s="78">
        <v>42774</v>
      </c>
      <c r="F152" s="77">
        <v>1657914</v>
      </c>
      <c r="G152" s="77">
        <v>5304122</v>
      </c>
      <c r="H152" s="85" t="s">
        <v>11</v>
      </c>
      <c r="I152" s="77" t="s">
        <v>456</v>
      </c>
      <c r="J152" s="77">
        <v>1.2</v>
      </c>
      <c r="K152" s="77">
        <v>1.2809999999999999</v>
      </c>
      <c r="L152" s="45">
        <f t="shared" si="4"/>
        <v>1.1209999999999998</v>
      </c>
      <c r="M152" s="45">
        <v>1.1000000000000001</v>
      </c>
      <c r="N152" s="45">
        <v>0.26</v>
      </c>
      <c r="O152" s="80"/>
      <c r="P152" s="80"/>
      <c r="Q152" s="80"/>
      <c r="R152" s="80"/>
    </row>
    <row r="153" spans="1:18" s="77" customFormat="1" x14ac:dyDescent="0.3">
      <c r="A153" s="77">
        <v>11</v>
      </c>
      <c r="B153" s="77" t="s">
        <v>202</v>
      </c>
      <c r="C153" s="77" t="s">
        <v>494</v>
      </c>
      <c r="D153" s="78">
        <v>42774</v>
      </c>
      <c r="F153" s="77">
        <v>1657914</v>
      </c>
      <c r="G153" s="77">
        <v>5304122</v>
      </c>
      <c r="H153" s="85" t="s">
        <v>11</v>
      </c>
      <c r="I153" s="77" t="s">
        <v>456</v>
      </c>
      <c r="J153" s="77">
        <v>1.1000000000000001</v>
      </c>
      <c r="K153" s="77">
        <v>1.2809999999999999</v>
      </c>
      <c r="L153" s="45">
        <f t="shared" si="4"/>
        <v>1.0210000000000001</v>
      </c>
      <c r="M153" s="45">
        <v>1.1000000000000001</v>
      </c>
      <c r="N153" s="45">
        <v>0.26</v>
      </c>
      <c r="O153" s="80"/>
      <c r="P153" s="80"/>
      <c r="Q153" s="80"/>
      <c r="R153" s="80"/>
    </row>
    <row r="154" spans="1:18" s="77" customFormat="1" x14ac:dyDescent="0.3">
      <c r="A154" s="77">
        <v>12</v>
      </c>
      <c r="B154" s="77" t="s">
        <v>202</v>
      </c>
      <c r="C154" s="77" t="s">
        <v>494</v>
      </c>
      <c r="D154" s="78">
        <v>42774</v>
      </c>
      <c r="F154" s="77">
        <v>1657914</v>
      </c>
      <c r="G154" s="77">
        <v>5304122</v>
      </c>
      <c r="H154" s="42" t="s">
        <v>13</v>
      </c>
      <c r="I154" s="77" t="s">
        <v>456</v>
      </c>
      <c r="J154" s="77">
        <v>1.55</v>
      </c>
      <c r="K154" s="77">
        <v>1.2809999999999999</v>
      </c>
      <c r="L154" s="45">
        <f t="shared" si="4"/>
        <v>1.351</v>
      </c>
      <c r="M154" s="45">
        <v>1.1000000000000001</v>
      </c>
      <c r="N154" s="45">
        <v>0.38</v>
      </c>
      <c r="O154" s="80"/>
      <c r="P154" s="80"/>
      <c r="Q154" s="80"/>
      <c r="R154" s="80"/>
    </row>
    <row r="155" spans="1:18" s="77" customFormat="1" x14ac:dyDescent="0.3">
      <c r="A155" s="77">
        <v>13</v>
      </c>
      <c r="B155" s="77" t="s">
        <v>202</v>
      </c>
      <c r="C155" s="77" t="s">
        <v>494</v>
      </c>
      <c r="D155" s="78">
        <v>42774</v>
      </c>
      <c r="F155" s="77">
        <v>1657914</v>
      </c>
      <c r="G155" s="77">
        <v>5304122</v>
      </c>
      <c r="H155" s="42" t="s">
        <v>13</v>
      </c>
      <c r="I155" s="77" t="s">
        <v>456</v>
      </c>
      <c r="J155" s="77">
        <v>1.5</v>
      </c>
      <c r="K155" s="77">
        <v>1.2809999999999999</v>
      </c>
      <c r="L155" s="45">
        <f t="shared" si="4"/>
        <v>1.3009999999999997</v>
      </c>
      <c r="M155" s="45">
        <v>1.1000000000000001</v>
      </c>
      <c r="N155" s="45">
        <v>0.38</v>
      </c>
      <c r="O155" s="80"/>
      <c r="P155" s="80"/>
      <c r="Q155" s="80"/>
      <c r="R155" s="80"/>
    </row>
    <row r="156" spans="1:18" s="77" customFormat="1" x14ac:dyDescent="0.3">
      <c r="A156" s="77">
        <v>14</v>
      </c>
      <c r="B156" s="77" t="s">
        <v>202</v>
      </c>
      <c r="C156" s="77" t="s">
        <v>494</v>
      </c>
      <c r="D156" s="78">
        <v>42774</v>
      </c>
      <c r="F156" s="77">
        <v>1657914</v>
      </c>
      <c r="G156" s="77">
        <v>5304122</v>
      </c>
      <c r="H156" s="85" t="s">
        <v>11</v>
      </c>
      <c r="I156" s="77" t="s">
        <v>456</v>
      </c>
      <c r="J156" s="77">
        <v>1.25</v>
      </c>
      <c r="K156" s="77">
        <v>1.2809999999999999</v>
      </c>
      <c r="L156" s="45">
        <f t="shared" si="4"/>
        <v>1.1709999999999996</v>
      </c>
      <c r="M156" s="45">
        <v>1.1000000000000001</v>
      </c>
      <c r="N156" s="45">
        <v>0.26</v>
      </c>
      <c r="O156" s="80"/>
      <c r="P156" s="80"/>
      <c r="Q156" s="80"/>
      <c r="R156" s="80"/>
    </row>
    <row r="157" spans="1:18" s="77" customFormat="1" x14ac:dyDescent="0.3">
      <c r="A157" s="77">
        <v>15</v>
      </c>
      <c r="B157" s="77" t="s">
        <v>202</v>
      </c>
      <c r="C157" s="77" t="s">
        <v>494</v>
      </c>
      <c r="D157" s="78">
        <v>42774</v>
      </c>
      <c r="F157" s="77">
        <v>1657914</v>
      </c>
      <c r="G157" s="77">
        <v>5304122</v>
      </c>
      <c r="H157" s="85" t="s">
        <v>11</v>
      </c>
      <c r="I157" s="77" t="s">
        <v>456</v>
      </c>
      <c r="J157" s="77">
        <v>1.3</v>
      </c>
      <c r="K157" s="77">
        <v>1.2809999999999999</v>
      </c>
      <c r="L157" s="45">
        <f t="shared" si="4"/>
        <v>1.2209999999999999</v>
      </c>
      <c r="M157" s="45">
        <v>1.1000000000000001</v>
      </c>
      <c r="N157" s="45">
        <v>0.26</v>
      </c>
      <c r="O157" s="80"/>
      <c r="P157" s="80"/>
      <c r="Q157" s="80"/>
      <c r="R157" s="80"/>
    </row>
    <row r="158" spans="1:18" s="77" customFormat="1" x14ac:dyDescent="0.3">
      <c r="A158" s="77">
        <v>16</v>
      </c>
      <c r="B158" s="77" t="s">
        <v>202</v>
      </c>
      <c r="C158" s="77" t="s">
        <v>494</v>
      </c>
      <c r="D158" s="78">
        <v>42774</v>
      </c>
      <c r="F158" s="77">
        <v>1657914</v>
      </c>
      <c r="G158" s="77">
        <v>5304122</v>
      </c>
      <c r="H158" s="85" t="s">
        <v>11</v>
      </c>
      <c r="I158" s="77" t="s">
        <v>12</v>
      </c>
      <c r="J158" s="77">
        <v>1</v>
      </c>
      <c r="K158" s="77">
        <v>1.2809999999999999</v>
      </c>
      <c r="L158" s="45">
        <f t="shared" si="4"/>
        <v>0.9209999999999996</v>
      </c>
      <c r="M158" s="45">
        <v>1.1000000000000001</v>
      </c>
      <c r="N158" s="45">
        <v>0.26</v>
      </c>
      <c r="O158" s="80"/>
      <c r="P158" s="80"/>
      <c r="Q158" s="80"/>
      <c r="R158" s="80"/>
    </row>
    <row r="159" spans="1:18" s="77" customFormat="1" x14ac:dyDescent="0.3">
      <c r="A159" s="77">
        <v>17</v>
      </c>
      <c r="B159" s="77" t="s">
        <v>202</v>
      </c>
      <c r="C159" s="77" t="s">
        <v>494</v>
      </c>
      <c r="D159" s="78">
        <v>42774</v>
      </c>
      <c r="F159" s="77">
        <v>1657914</v>
      </c>
      <c r="G159" s="77">
        <v>5304122</v>
      </c>
      <c r="H159" s="85" t="s">
        <v>11</v>
      </c>
      <c r="I159" s="77" t="s">
        <v>456</v>
      </c>
      <c r="J159" s="77">
        <v>1.1000000000000001</v>
      </c>
      <c r="K159" s="77">
        <v>1.2809999999999999</v>
      </c>
      <c r="L159" s="45">
        <f t="shared" si="4"/>
        <v>1.0210000000000001</v>
      </c>
      <c r="M159" s="45">
        <v>1.1000000000000001</v>
      </c>
      <c r="N159" s="45">
        <v>0.26</v>
      </c>
      <c r="O159" s="80"/>
      <c r="P159" s="80"/>
      <c r="Q159" s="80"/>
      <c r="R159" s="80"/>
    </row>
    <row r="160" spans="1:18" s="77" customFormat="1" x14ac:dyDescent="0.3">
      <c r="A160" s="77">
        <v>18</v>
      </c>
      <c r="B160" s="77" t="s">
        <v>202</v>
      </c>
      <c r="C160" s="77" t="s">
        <v>494</v>
      </c>
      <c r="D160" s="78">
        <v>42774</v>
      </c>
      <c r="F160" s="77">
        <v>1657914</v>
      </c>
      <c r="G160" s="77">
        <v>5304122</v>
      </c>
      <c r="H160" s="85" t="s">
        <v>11</v>
      </c>
      <c r="I160" s="77" t="s">
        <v>456</v>
      </c>
      <c r="J160" s="77">
        <v>1.1499999999999999</v>
      </c>
      <c r="K160" s="77">
        <v>1.2809999999999999</v>
      </c>
      <c r="L160" s="45">
        <f t="shared" si="4"/>
        <v>1.071</v>
      </c>
      <c r="M160" s="45">
        <v>1.1000000000000001</v>
      </c>
      <c r="N160" s="45">
        <v>0.26</v>
      </c>
      <c r="O160" s="80"/>
      <c r="P160" s="80"/>
      <c r="Q160" s="80"/>
      <c r="R160" s="80"/>
    </row>
    <row r="161" spans="1:18" s="77" customFormat="1" x14ac:dyDescent="0.3">
      <c r="A161" s="77">
        <v>19</v>
      </c>
      <c r="B161" s="77" t="s">
        <v>202</v>
      </c>
      <c r="C161" s="77" t="s">
        <v>494</v>
      </c>
      <c r="D161" s="78">
        <v>42774</v>
      </c>
      <c r="F161" s="77">
        <v>1657914</v>
      </c>
      <c r="G161" s="77">
        <v>5304122</v>
      </c>
      <c r="H161" s="42" t="s">
        <v>13</v>
      </c>
      <c r="I161" s="77" t="s">
        <v>456</v>
      </c>
      <c r="J161" s="77">
        <v>1.35</v>
      </c>
      <c r="K161" s="77">
        <v>1.2809999999999999</v>
      </c>
      <c r="L161" s="45">
        <f t="shared" si="4"/>
        <v>1.1510000000000002</v>
      </c>
      <c r="M161" s="45">
        <v>1.1000000000000001</v>
      </c>
      <c r="N161" s="45">
        <v>0.38</v>
      </c>
      <c r="O161" s="80"/>
      <c r="P161" s="80"/>
      <c r="Q161" s="80"/>
      <c r="R161" s="80"/>
    </row>
    <row r="162" spans="1:18" x14ac:dyDescent="0.3">
      <c r="O162" s="54"/>
      <c r="P162" s="54"/>
      <c r="Q162" s="54"/>
      <c r="R162" s="54"/>
    </row>
    <row r="163" spans="1:18" s="45" customFormat="1" x14ac:dyDescent="0.3">
      <c r="A163" s="45">
        <v>1</v>
      </c>
      <c r="B163" s="82" t="s">
        <v>507</v>
      </c>
      <c r="C163" s="82" t="s">
        <v>461</v>
      </c>
      <c r="D163" s="83">
        <v>42770</v>
      </c>
      <c r="E163" s="84">
        <v>0.6875</v>
      </c>
      <c r="F163" s="82">
        <v>1656637</v>
      </c>
      <c r="G163" s="82">
        <v>5302664</v>
      </c>
      <c r="H163" s="85" t="s">
        <v>11</v>
      </c>
      <c r="I163" s="82" t="s">
        <v>12</v>
      </c>
      <c r="J163" s="82">
        <v>0.4</v>
      </c>
      <c r="K163" s="81">
        <v>1.5680000000000001</v>
      </c>
      <c r="L163" s="45">
        <f t="shared" si="4"/>
        <v>0.60799999999999987</v>
      </c>
      <c r="M163" s="82">
        <v>1.1000000000000001</v>
      </c>
      <c r="N163" s="45">
        <v>0.26</v>
      </c>
      <c r="O163" s="53">
        <f>AVERAGE(L163:L177)</f>
        <v>0.66800000000000004</v>
      </c>
      <c r="P163" s="80"/>
      <c r="Q163" s="53">
        <f>SUM(O163-P163)</f>
        <v>0.66800000000000004</v>
      </c>
      <c r="R163" s="80">
        <f>STDEVA(L163:L177)</f>
        <v>6.0356086212221764E-2</v>
      </c>
    </row>
    <row r="164" spans="1:18" s="45" customFormat="1" x14ac:dyDescent="0.3">
      <c r="A164" s="45">
        <f>SUM(A163+1)</f>
        <v>2</v>
      </c>
      <c r="B164" s="82" t="s">
        <v>507</v>
      </c>
      <c r="C164" s="82" t="s">
        <v>461</v>
      </c>
      <c r="D164" s="83">
        <v>42770</v>
      </c>
      <c r="E164" s="84"/>
      <c r="F164" s="82">
        <v>1656637</v>
      </c>
      <c r="G164" s="82">
        <v>5302664</v>
      </c>
      <c r="H164" s="85" t="s">
        <v>11</v>
      </c>
      <c r="I164" s="82" t="s">
        <v>12</v>
      </c>
      <c r="J164" s="82">
        <v>0.3</v>
      </c>
      <c r="K164" s="81">
        <v>1.5680000000000001</v>
      </c>
      <c r="L164" s="45">
        <f t="shared" si="4"/>
        <v>0.50800000000000001</v>
      </c>
      <c r="M164" s="82">
        <v>1.1000000000000001</v>
      </c>
      <c r="N164" s="45">
        <v>0.26</v>
      </c>
      <c r="O164" s="82"/>
    </row>
    <row r="165" spans="1:18" s="45" customFormat="1" x14ac:dyDescent="0.3">
      <c r="A165" s="45">
        <f t="shared" ref="A165:A177" si="5">SUM(A164+1)</f>
        <v>3</v>
      </c>
      <c r="B165" s="82" t="s">
        <v>507</v>
      </c>
      <c r="C165" s="82" t="s">
        <v>461</v>
      </c>
      <c r="D165" s="83">
        <v>42770</v>
      </c>
      <c r="E165" s="84"/>
      <c r="F165" s="82">
        <v>1656637</v>
      </c>
      <c r="G165" s="82">
        <v>5302664</v>
      </c>
      <c r="H165" s="85" t="s">
        <v>11</v>
      </c>
      <c r="I165" s="82" t="s">
        <v>12</v>
      </c>
      <c r="J165" s="82">
        <v>0.5</v>
      </c>
      <c r="K165" s="81">
        <v>1.5680000000000001</v>
      </c>
      <c r="L165" s="45">
        <f t="shared" ref="L165:L223" si="6">SUM(J165:K165)-M165-N165</f>
        <v>0.70799999999999996</v>
      </c>
      <c r="M165" s="82">
        <v>1.1000000000000001</v>
      </c>
      <c r="N165" s="45">
        <v>0.26</v>
      </c>
      <c r="O165" s="82"/>
    </row>
    <row r="166" spans="1:18" s="45" customFormat="1" x14ac:dyDescent="0.3">
      <c r="A166" s="45">
        <f t="shared" si="5"/>
        <v>4</v>
      </c>
      <c r="B166" s="82" t="s">
        <v>507</v>
      </c>
      <c r="C166" s="82" t="s">
        <v>461</v>
      </c>
      <c r="D166" s="83">
        <v>42770</v>
      </c>
      <c r="E166" s="84"/>
      <c r="F166" s="82">
        <v>1656637</v>
      </c>
      <c r="G166" s="82">
        <v>5302664</v>
      </c>
      <c r="H166" s="85" t="s">
        <v>11</v>
      </c>
      <c r="I166" s="82" t="s">
        <v>12</v>
      </c>
      <c r="J166" s="82">
        <v>0.45</v>
      </c>
      <c r="K166" s="81">
        <v>1.5680000000000001</v>
      </c>
      <c r="L166" s="45">
        <f t="shared" si="6"/>
        <v>0.65800000000000014</v>
      </c>
      <c r="M166" s="82">
        <v>1.1000000000000001</v>
      </c>
      <c r="N166" s="45">
        <v>0.26</v>
      </c>
      <c r="O166" s="82"/>
    </row>
    <row r="167" spans="1:18" s="45" customFormat="1" x14ac:dyDescent="0.3">
      <c r="A167" s="45">
        <f t="shared" si="5"/>
        <v>5</v>
      </c>
      <c r="B167" s="82" t="s">
        <v>507</v>
      </c>
      <c r="C167" s="82" t="s">
        <v>461</v>
      </c>
      <c r="D167" s="83">
        <v>42770</v>
      </c>
      <c r="E167" s="84"/>
      <c r="F167" s="82">
        <v>1656637</v>
      </c>
      <c r="G167" s="82">
        <v>5302664</v>
      </c>
      <c r="H167" s="85" t="s">
        <v>11</v>
      </c>
      <c r="I167" s="82" t="s">
        <v>12</v>
      </c>
      <c r="J167" s="82">
        <v>0.5</v>
      </c>
      <c r="K167" s="81">
        <v>1.5680000000000001</v>
      </c>
      <c r="L167" s="45">
        <f t="shared" si="6"/>
        <v>0.70799999999999996</v>
      </c>
      <c r="M167" s="82">
        <v>1.1000000000000001</v>
      </c>
      <c r="N167" s="45">
        <v>0.26</v>
      </c>
      <c r="O167" s="82"/>
    </row>
    <row r="168" spans="1:18" s="45" customFormat="1" x14ac:dyDescent="0.3">
      <c r="A168" s="45">
        <f t="shared" si="5"/>
        <v>6</v>
      </c>
      <c r="B168" s="82" t="s">
        <v>507</v>
      </c>
      <c r="C168" s="82" t="s">
        <v>461</v>
      </c>
      <c r="D168" s="83">
        <v>42770</v>
      </c>
      <c r="E168" s="84"/>
      <c r="F168" s="82">
        <v>1656637</v>
      </c>
      <c r="G168" s="82">
        <v>5302664</v>
      </c>
      <c r="H168" s="85" t="s">
        <v>11</v>
      </c>
      <c r="I168" s="82" t="s">
        <v>12</v>
      </c>
      <c r="J168" s="82">
        <v>0.5</v>
      </c>
      <c r="K168" s="81">
        <v>1.5680000000000001</v>
      </c>
      <c r="L168" s="45">
        <f t="shared" si="6"/>
        <v>0.70799999999999996</v>
      </c>
      <c r="M168" s="82">
        <v>1.1000000000000001</v>
      </c>
      <c r="N168" s="45">
        <v>0.26</v>
      </c>
      <c r="O168" s="82"/>
    </row>
    <row r="169" spans="1:18" s="45" customFormat="1" x14ac:dyDescent="0.3">
      <c r="A169" s="45">
        <f t="shared" si="5"/>
        <v>7</v>
      </c>
      <c r="B169" s="82" t="s">
        <v>507</v>
      </c>
      <c r="C169" s="82" t="s">
        <v>461</v>
      </c>
      <c r="D169" s="83">
        <v>42770</v>
      </c>
      <c r="E169" s="84"/>
      <c r="F169" s="82">
        <v>1656637</v>
      </c>
      <c r="G169" s="82">
        <v>5302664</v>
      </c>
      <c r="H169" s="85" t="s">
        <v>11</v>
      </c>
      <c r="I169" s="82" t="s">
        <v>12</v>
      </c>
      <c r="J169" s="82">
        <v>0.45</v>
      </c>
      <c r="K169" s="81">
        <v>1.5680000000000001</v>
      </c>
      <c r="L169" s="45">
        <f t="shared" si="6"/>
        <v>0.65800000000000014</v>
      </c>
      <c r="M169" s="82">
        <v>1.1000000000000001</v>
      </c>
      <c r="N169" s="45">
        <v>0.26</v>
      </c>
      <c r="O169" s="82"/>
    </row>
    <row r="170" spans="1:18" s="45" customFormat="1" x14ac:dyDescent="0.3">
      <c r="A170" s="45">
        <f t="shared" si="5"/>
        <v>8</v>
      </c>
      <c r="B170" s="82" t="s">
        <v>507</v>
      </c>
      <c r="C170" s="82" t="s">
        <v>461</v>
      </c>
      <c r="D170" s="83">
        <v>42770</v>
      </c>
      <c r="E170" s="84"/>
      <c r="F170" s="82">
        <v>1656637</v>
      </c>
      <c r="G170" s="82">
        <v>5302664</v>
      </c>
      <c r="H170" s="85" t="s">
        <v>11</v>
      </c>
      <c r="I170" s="82" t="s">
        <v>12</v>
      </c>
      <c r="J170" s="82">
        <v>0.5</v>
      </c>
      <c r="K170" s="81">
        <v>1.5680000000000001</v>
      </c>
      <c r="L170" s="45">
        <f t="shared" si="6"/>
        <v>0.70799999999999996</v>
      </c>
      <c r="M170" s="82">
        <v>1.1000000000000001</v>
      </c>
      <c r="N170" s="45">
        <v>0.26</v>
      </c>
      <c r="O170" s="82"/>
    </row>
    <row r="171" spans="1:18" s="45" customFormat="1" x14ac:dyDescent="0.3">
      <c r="A171" s="45">
        <f t="shared" si="5"/>
        <v>9</v>
      </c>
      <c r="B171" s="82" t="s">
        <v>507</v>
      </c>
      <c r="C171" s="82" t="s">
        <v>461</v>
      </c>
      <c r="D171" s="83">
        <v>42770</v>
      </c>
      <c r="E171" s="84"/>
      <c r="F171" s="82">
        <v>1656637</v>
      </c>
      <c r="G171" s="82">
        <v>5302664</v>
      </c>
      <c r="H171" s="85" t="s">
        <v>11</v>
      </c>
      <c r="I171" s="82" t="s">
        <v>12</v>
      </c>
      <c r="J171" s="82">
        <v>0.5</v>
      </c>
      <c r="K171" s="81">
        <v>1.5680000000000001</v>
      </c>
      <c r="L171" s="45">
        <f t="shared" si="6"/>
        <v>0.70799999999999996</v>
      </c>
      <c r="M171" s="82">
        <v>1.1000000000000001</v>
      </c>
      <c r="N171" s="45">
        <v>0.26</v>
      </c>
      <c r="O171" s="82"/>
    </row>
    <row r="172" spans="1:18" s="45" customFormat="1" x14ac:dyDescent="0.3">
      <c r="A172" s="45">
        <f t="shared" si="5"/>
        <v>10</v>
      </c>
      <c r="B172" s="82" t="s">
        <v>507</v>
      </c>
      <c r="C172" s="82" t="s">
        <v>461</v>
      </c>
      <c r="D172" s="83">
        <v>42770</v>
      </c>
      <c r="E172" s="84"/>
      <c r="F172" s="82">
        <v>1656637</v>
      </c>
      <c r="G172" s="82">
        <v>5302664</v>
      </c>
      <c r="H172" s="85" t="s">
        <v>11</v>
      </c>
      <c r="I172" s="82" t="s">
        <v>12</v>
      </c>
      <c r="J172" s="82">
        <v>0.5</v>
      </c>
      <c r="K172" s="81">
        <v>1.5680000000000001</v>
      </c>
      <c r="L172" s="45">
        <f t="shared" si="6"/>
        <v>0.70799999999999996</v>
      </c>
      <c r="M172" s="82">
        <v>1.1000000000000001</v>
      </c>
      <c r="N172" s="45">
        <v>0.26</v>
      </c>
      <c r="O172" s="82"/>
    </row>
    <row r="173" spans="1:18" s="45" customFormat="1" x14ac:dyDescent="0.3">
      <c r="A173" s="45">
        <f t="shared" si="5"/>
        <v>11</v>
      </c>
      <c r="B173" s="82" t="s">
        <v>507</v>
      </c>
      <c r="C173" s="82" t="s">
        <v>461</v>
      </c>
      <c r="D173" s="83">
        <v>42770</v>
      </c>
      <c r="E173" s="84"/>
      <c r="F173" s="82">
        <v>1656637</v>
      </c>
      <c r="G173" s="82">
        <v>5302664</v>
      </c>
      <c r="H173" s="85" t="s">
        <v>11</v>
      </c>
      <c r="I173" s="82" t="s">
        <v>12</v>
      </c>
      <c r="J173" s="82">
        <v>0.45</v>
      </c>
      <c r="K173" s="81">
        <v>1.5680000000000001</v>
      </c>
      <c r="L173" s="45">
        <f t="shared" si="6"/>
        <v>0.65800000000000014</v>
      </c>
      <c r="M173" s="82">
        <v>1.1000000000000001</v>
      </c>
      <c r="N173" s="45">
        <v>0.26</v>
      </c>
      <c r="O173" s="82"/>
    </row>
    <row r="174" spans="1:18" s="45" customFormat="1" x14ac:dyDescent="0.3">
      <c r="A174" s="45">
        <f t="shared" si="5"/>
        <v>12</v>
      </c>
      <c r="B174" s="82" t="s">
        <v>507</v>
      </c>
      <c r="C174" s="82" t="s">
        <v>461</v>
      </c>
      <c r="D174" s="83">
        <v>42770</v>
      </c>
      <c r="E174" s="84"/>
      <c r="F174" s="82">
        <v>1656637</v>
      </c>
      <c r="G174" s="82">
        <v>5302664</v>
      </c>
      <c r="H174" s="85" t="s">
        <v>11</v>
      </c>
      <c r="I174" s="82" t="s">
        <v>12</v>
      </c>
      <c r="J174" s="82">
        <v>0.4</v>
      </c>
      <c r="K174" s="81">
        <v>1.5680000000000001</v>
      </c>
      <c r="L174" s="45">
        <f t="shared" si="6"/>
        <v>0.60799999999999987</v>
      </c>
      <c r="M174" s="82">
        <v>1.1000000000000001</v>
      </c>
      <c r="N174" s="45">
        <v>0.26</v>
      </c>
      <c r="O174" s="82"/>
    </row>
    <row r="175" spans="1:18" s="45" customFormat="1" x14ac:dyDescent="0.3">
      <c r="A175" s="45">
        <f t="shared" si="5"/>
        <v>13</v>
      </c>
      <c r="B175" s="82" t="s">
        <v>507</v>
      </c>
      <c r="C175" s="82" t="s">
        <v>461</v>
      </c>
      <c r="D175" s="83">
        <v>42770</v>
      </c>
      <c r="E175" s="84"/>
      <c r="F175" s="82">
        <v>1656637</v>
      </c>
      <c r="G175" s="82">
        <v>5302664</v>
      </c>
      <c r="H175" s="85" t="s">
        <v>11</v>
      </c>
      <c r="I175" s="82" t="s">
        <v>12</v>
      </c>
      <c r="J175" s="82">
        <v>0.45</v>
      </c>
      <c r="K175" s="81">
        <v>1.5680000000000001</v>
      </c>
      <c r="L175" s="45">
        <f t="shared" si="6"/>
        <v>0.65800000000000014</v>
      </c>
      <c r="M175" s="82">
        <v>1.1000000000000001</v>
      </c>
      <c r="N175" s="45">
        <v>0.26</v>
      </c>
      <c r="O175" s="82"/>
    </row>
    <row r="176" spans="1:18" s="45" customFormat="1" x14ac:dyDescent="0.3">
      <c r="A176" s="45">
        <f t="shared" si="5"/>
        <v>14</v>
      </c>
      <c r="B176" s="82" t="s">
        <v>507</v>
      </c>
      <c r="C176" s="82" t="s">
        <v>461</v>
      </c>
      <c r="D176" s="83">
        <v>42770</v>
      </c>
      <c r="E176" s="84"/>
      <c r="F176" s="82">
        <v>1656637</v>
      </c>
      <c r="G176" s="82">
        <v>5302664</v>
      </c>
      <c r="H176" s="85" t="s">
        <v>11</v>
      </c>
      <c r="I176" s="82" t="s">
        <v>12</v>
      </c>
      <c r="J176" s="82">
        <v>0.55000000000000004</v>
      </c>
      <c r="K176" s="81">
        <v>1.5680000000000001</v>
      </c>
      <c r="L176" s="45">
        <f t="shared" si="6"/>
        <v>0.75800000000000023</v>
      </c>
      <c r="M176" s="82">
        <v>1.1000000000000001</v>
      </c>
      <c r="N176" s="45">
        <v>0.26</v>
      </c>
      <c r="O176" s="82"/>
    </row>
    <row r="177" spans="1:18" s="45" customFormat="1" x14ac:dyDescent="0.3">
      <c r="A177" s="45">
        <f t="shared" si="5"/>
        <v>15</v>
      </c>
      <c r="B177" s="82" t="s">
        <v>507</v>
      </c>
      <c r="C177" s="82" t="s">
        <v>461</v>
      </c>
      <c r="D177" s="83">
        <v>42770</v>
      </c>
      <c r="E177" s="84">
        <v>0.69097222222222221</v>
      </c>
      <c r="F177" s="82">
        <v>1656637</v>
      </c>
      <c r="G177" s="82">
        <v>5302664</v>
      </c>
      <c r="H177" s="85" t="s">
        <v>11</v>
      </c>
      <c r="I177" s="82" t="s">
        <v>12</v>
      </c>
      <c r="J177" s="82">
        <v>0.45</v>
      </c>
      <c r="K177" s="81">
        <v>1.5680000000000001</v>
      </c>
      <c r="L177" s="45">
        <f t="shared" si="6"/>
        <v>0.65800000000000014</v>
      </c>
      <c r="M177" s="82">
        <v>1.1000000000000001</v>
      </c>
      <c r="N177" s="45">
        <v>0.26</v>
      </c>
      <c r="O177" s="82"/>
    </row>
    <row r="178" spans="1:18" s="45" customFormat="1" x14ac:dyDescent="0.3">
      <c r="A178" s="45">
        <v>1</v>
      </c>
      <c r="B178" s="82" t="s">
        <v>508</v>
      </c>
      <c r="C178" s="82" t="s">
        <v>461</v>
      </c>
      <c r="D178" s="83">
        <v>42770</v>
      </c>
      <c r="E178" s="84">
        <v>0.70277777777777783</v>
      </c>
      <c r="F178" s="82" t="s">
        <v>509</v>
      </c>
      <c r="G178" s="82" t="s">
        <v>510</v>
      </c>
      <c r="H178" s="85" t="s">
        <v>11</v>
      </c>
      <c r="I178" s="82" t="s">
        <v>12</v>
      </c>
      <c r="J178" s="82">
        <v>0.45</v>
      </c>
      <c r="K178" s="81">
        <v>1.4450000000000001</v>
      </c>
      <c r="L178" s="45">
        <f t="shared" si="6"/>
        <v>0.53499999999999992</v>
      </c>
      <c r="M178" s="82">
        <v>1.1000000000000001</v>
      </c>
      <c r="N178" s="45">
        <v>0.26</v>
      </c>
      <c r="O178" s="53">
        <f>AVERAGE(L178:L192)</f>
        <v>0.55833333333333335</v>
      </c>
      <c r="P178" s="80"/>
      <c r="Q178" s="53">
        <f>AVERAGE(L178:L223)</f>
        <v>0.66289130434782584</v>
      </c>
      <c r="R178" s="80">
        <f>STDEVA(L178:L223)</f>
        <v>0.10138972734747101</v>
      </c>
    </row>
    <row r="179" spans="1:18" s="45" customFormat="1" x14ac:dyDescent="0.3">
      <c r="A179" s="45">
        <f t="shared" ref="A179:A192" si="7">SUM(A178+1)</f>
        <v>2</v>
      </c>
      <c r="B179" s="82" t="s">
        <v>508</v>
      </c>
      <c r="C179" s="82" t="s">
        <v>461</v>
      </c>
      <c r="D179" s="83">
        <v>42770</v>
      </c>
      <c r="E179" s="84"/>
      <c r="F179" s="82" t="s">
        <v>509</v>
      </c>
      <c r="G179" s="82" t="s">
        <v>510</v>
      </c>
      <c r="H179" s="85" t="s">
        <v>11</v>
      </c>
      <c r="I179" s="82" t="s">
        <v>12</v>
      </c>
      <c r="J179" s="82">
        <v>0.4</v>
      </c>
      <c r="K179" s="81">
        <v>1.4450000000000001</v>
      </c>
      <c r="L179" s="45">
        <f t="shared" si="6"/>
        <v>0.4850000000000001</v>
      </c>
      <c r="M179" s="82">
        <v>1.1000000000000001</v>
      </c>
      <c r="N179" s="45">
        <v>0.26</v>
      </c>
      <c r="O179" s="81"/>
      <c r="P179" s="81"/>
      <c r="Q179" s="81"/>
      <c r="R179" s="81"/>
    </row>
    <row r="180" spans="1:18" s="45" customFormat="1" x14ac:dyDescent="0.3">
      <c r="A180" s="45">
        <f t="shared" si="7"/>
        <v>3</v>
      </c>
      <c r="B180" s="82" t="s">
        <v>508</v>
      </c>
      <c r="C180" s="82" t="s">
        <v>461</v>
      </c>
      <c r="D180" s="83">
        <v>42770</v>
      </c>
      <c r="E180" s="84"/>
      <c r="F180" s="82" t="s">
        <v>509</v>
      </c>
      <c r="G180" s="82" t="s">
        <v>510</v>
      </c>
      <c r="H180" s="85" t="s">
        <v>11</v>
      </c>
      <c r="I180" s="82" t="s">
        <v>12</v>
      </c>
      <c r="J180" s="82">
        <v>0.4</v>
      </c>
      <c r="K180" s="81">
        <v>1.4450000000000001</v>
      </c>
      <c r="L180" s="45">
        <f t="shared" si="6"/>
        <v>0.4850000000000001</v>
      </c>
      <c r="M180" s="82">
        <v>1.1000000000000001</v>
      </c>
      <c r="N180" s="45">
        <v>0.26</v>
      </c>
      <c r="O180" s="81"/>
      <c r="P180" s="81"/>
      <c r="Q180" s="81"/>
      <c r="R180" s="81"/>
    </row>
    <row r="181" spans="1:18" s="45" customFormat="1" x14ac:dyDescent="0.3">
      <c r="A181" s="45">
        <f t="shared" si="7"/>
        <v>4</v>
      </c>
      <c r="B181" s="82" t="s">
        <v>508</v>
      </c>
      <c r="C181" s="82" t="s">
        <v>461</v>
      </c>
      <c r="D181" s="83">
        <v>42770</v>
      </c>
      <c r="E181" s="84"/>
      <c r="F181" s="82" t="s">
        <v>509</v>
      </c>
      <c r="G181" s="82" t="s">
        <v>510</v>
      </c>
      <c r="H181" s="85" t="s">
        <v>11</v>
      </c>
      <c r="I181" s="82" t="s">
        <v>12</v>
      </c>
      <c r="J181" s="82">
        <v>0.6</v>
      </c>
      <c r="K181" s="81">
        <v>1.4450000000000001</v>
      </c>
      <c r="L181" s="45">
        <f t="shared" si="6"/>
        <v>0.68499999999999983</v>
      </c>
      <c r="M181" s="82">
        <v>1.1000000000000001</v>
      </c>
      <c r="N181" s="45">
        <v>0.26</v>
      </c>
      <c r="O181" s="81"/>
      <c r="P181" s="81"/>
      <c r="Q181" s="81"/>
      <c r="R181" s="81"/>
    </row>
    <row r="182" spans="1:18" s="45" customFormat="1" x14ac:dyDescent="0.3">
      <c r="A182" s="45">
        <f t="shared" si="7"/>
        <v>5</v>
      </c>
      <c r="B182" s="82" t="s">
        <v>508</v>
      </c>
      <c r="C182" s="82" t="s">
        <v>461</v>
      </c>
      <c r="D182" s="83">
        <v>42770</v>
      </c>
      <c r="E182" s="84"/>
      <c r="F182" s="82" t="s">
        <v>509</v>
      </c>
      <c r="G182" s="82" t="s">
        <v>510</v>
      </c>
      <c r="H182" s="85" t="s">
        <v>11</v>
      </c>
      <c r="I182" s="82" t="s">
        <v>12</v>
      </c>
      <c r="J182" s="82">
        <v>0.4</v>
      </c>
      <c r="K182" s="81">
        <v>1.4450000000000001</v>
      </c>
      <c r="L182" s="45">
        <f t="shared" si="6"/>
        <v>0.4850000000000001</v>
      </c>
      <c r="M182" s="82">
        <v>1.1000000000000001</v>
      </c>
      <c r="N182" s="45">
        <v>0.26</v>
      </c>
      <c r="O182" s="81"/>
      <c r="P182" s="81"/>
      <c r="Q182" s="81"/>
      <c r="R182" s="81"/>
    </row>
    <row r="183" spans="1:18" s="45" customFormat="1" x14ac:dyDescent="0.3">
      <c r="A183" s="45">
        <f t="shared" si="7"/>
        <v>6</v>
      </c>
      <c r="B183" s="82" t="s">
        <v>508</v>
      </c>
      <c r="C183" s="82" t="s">
        <v>461</v>
      </c>
      <c r="D183" s="83">
        <v>42770</v>
      </c>
      <c r="E183" s="84"/>
      <c r="F183" s="82" t="s">
        <v>509</v>
      </c>
      <c r="G183" s="82" t="s">
        <v>510</v>
      </c>
      <c r="H183" s="85" t="s">
        <v>11</v>
      </c>
      <c r="I183" s="82" t="s">
        <v>12</v>
      </c>
      <c r="J183" s="82">
        <v>0.45</v>
      </c>
      <c r="K183" s="81">
        <v>1.4450000000000001</v>
      </c>
      <c r="L183" s="45">
        <f t="shared" si="6"/>
        <v>0.53499999999999992</v>
      </c>
      <c r="M183" s="82">
        <v>1.1000000000000001</v>
      </c>
      <c r="N183" s="45">
        <v>0.26</v>
      </c>
      <c r="O183" s="81"/>
      <c r="P183" s="81"/>
      <c r="Q183" s="81"/>
      <c r="R183" s="81"/>
    </row>
    <row r="184" spans="1:18" s="45" customFormat="1" x14ac:dyDescent="0.3">
      <c r="A184" s="45">
        <f t="shared" si="7"/>
        <v>7</v>
      </c>
      <c r="B184" s="82" t="s">
        <v>508</v>
      </c>
      <c r="C184" s="82" t="s">
        <v>461</v>
      </c>
      <c r="D184" s="83">
        <v>42770</v>
      </c>
      <c r="E184" s="84"/>
      <c r="F184" s="82" t="s">
        <v>509</v>
      </c>
      <c r="G184" s="82" t="s">
        <v>510</v>
      </c>
      <c r="H184" s="85" t="s">
        <v>11</v>
      </c>
      <c r="I184" s="82" t="s">
        <v>12</v>
      </c>
      <c r="J184" s="82">
        <v>0.4</v>
      </c>
      <c r="K184" s="81">
        <v>1.4450000000000001</v>
      </c>
      <c r="L184" s="45">
        <f t="shared" si="6"/>
        <v>0.4850000000000001</v>
      </c>
      <c r="M184" s="82">
        <v>1.1000000000000001</v>
      </c>
      <c r="N184" s="45">
        <v>0.26</v>
      </c>
      <c r="O184" s="81"/>
      <c r="P184" s="81"/>
      <c r="Q184" s="81"/>
      <c r="R184" s="81"/>
    </row>
    <row r="185" spans="1:18" s="45" customFormat="1" x14ac:dyDescent="0.3">
      <c r="A185" s="45">
        <f t="shared" si="7"/>
        <v>8</v>
      </c>
      <c r="B185" s="82" t="s">
        <v>508</v>
      </c>
      <c r="C185" s="82" t="s">
        <v>461</v>
      </c>
      <c r="D185" s="83">
        <v>42770</v>
      </c>
      <c r="E185" s="84"/>
      <c r="F185" s="82" t="s">
        <v>509</v>
      </c>
      <c r="G185" s="82" t="s">
        <v>510</v>
      </c>
      <c r="H185" s="85" t="s">
        <v>11</v>
      </c>
      <c r="I185" s="82" t="s">
        <v>12</v>
      </c>
      <c r="J185" s="82">
        <v>0.5</v>
      </c>
      <c r="K185" s="81">
        <v>1.4450000000000001</v>
      </c>
      <c r="L185" s="45">
        <f t="shared" si="6"/>
        <v>0.58499999999999996</v>
      </c>
      <c r="M185" s="82">
        <v>1.1000000000000001</v>
      </c>
      <c r="N185" s="45">
        <v>0.26</v>
      </c>
      <c r="O185" s="81"/>
      <c r="P185" s="81"/>
      <c r="Q185" s="81"/>
      <c r="R185" s="81"/>
    </row>
    <row r="186" spans="1:18" s="45" customFormat="1" x14ac:dyDescent="0.3">
      <c r="A186" s="45">
        <f t="shared" si="7"/>
        <v>9</v>
      </c>
      <c r="B186" s="82" t="s">
        <v>508</v>
      </c>
      <c r="C186" s="82" t="s">
        <v>461</v>
      </c>
      <c r="D186" s="83">
        <v>42770</v>
      </c>
      <c r="E186" s="84"/>
      <c r="F186" s="82" t="s">
        <v>509</v>
      </c>
      <c r="G186" s="82" t="s">
        <v>510</v>
      </c>
      <c r="H186" s="85" t="s">
        <v>11</v>
      </c>
      <c r="I186" s="82" t="s">
        <v>12</v>
      </c>
      <c r="J186" s="82">
        <v>0.45</v>
      </c>
      <c r="K186" s="81">
        <v>1.4450000000000001</v>
      </c>
      <c r="L186" s="45">
        <f t="shared" si="6"/>
        <v>0.53499999999999992</v>
      </c>
      <c r="M186" s="82">
        <v>1.1000000000000001</v>
      </c>
      <c r="N186" s="45">
        <v>0.26</v>
      </c>
      <c r="O186" s="81"/>
      <c r="P186" s="81"/>
      <c r="Q186" s="81"/>
      <c r="R186" s="81"/>
    </row>
    <row r="187" spans="1:18" s="45" customFormat="1" x14ac:dyDescent="0.3">
      <c r="A187" s="45">
        <f t="shared" si="7"/>
        <v>10</v>
      </c>
      <c r="B187" s="82" t="s">
        <v>508</v>
      </c>
      <c r="C187" s="82" t="s">
        <v>461</v>
      </c>
      <c r="D187" s="83">
        <v>42770</v>
      </c>
      <c r="E187" s="84"/>
      <c r="F187" s="82" t="s">
        <v>509</v>
      </c>
      <c r="G187" s="82" t="s">
        <v>510</v>
      </c>
      <c r="H187" s="85" t="s">
        <v>11</v>
      </c>
      <c r="I187" s="82" t="s">
        <v>12</v>
      </c>
      <c r="J187" s="82">
        <v>0.45</v>
      </c>
      <c r="K187" s="81">
        <v>1.4450000000000001</v>
      </c>
      <c r="L187" s="45">
        <f t="shared" si="6"/>
        <v>0.53499999999999992</v>
      </c>
      <c r="M187" s="82">
        <v>1.1000000000000001</v>
      </c>
      <c r="N187" s="45">
        <v>0.26</v>
      </c>
      <c r="O187" s="81"/>
      <c r="P187" s="81"/>
      <c r="Q187" s="81"/>
      <c r="R187" s="81"/>
    </row>
    <row r="188" spans="1:18" s="45" customFormat="1" x14ac:dyDescent="0.3">
      <c r="A188" s="45">
        <f t="shared" si="7"/>
        <v>11</v>
      </c>
      <c r="B188" s="82" t="s">
        <v>508</v>
      </c>
      <c r="C188" s="82" t="s">
        <v>461</v>
      </c>
      <c r="D188" s="83">
        <v>42770</v>
      </c>
      <c r="E188" s="84"/>
      <c r="F188" s="82" t="s">
        <v>509</v>
      </c>
      <c r="G188" s="82" t="s">
        <v>510</v>
      </c>
      <c r="H188" s="85" t="s">
        <v>11</v>
      </c>
      <c r="I188" s="82" t="s">
        <v>12</v>
      </c>
      <c r="J188" s="82">
        <v>0.5</v>
      </c>
      <c r="K188" s="81">
        <v>1.4450000000000001</v>
      </c>
      <c r="L188" s="45">
        <f t="shared" si="6"/>
        <v>0.58499999999999996</v>
      </c>
      <c r="M188" s="82">
        <v>1.1000000000000001</v>
      </c>
      <c r="N188" s="45">
        <v>0.26</v>
      </c>
      <c r="O188" s="81"/>
      <c r="P188" s="81"/>
      <c r="Q188" s="81"/>
      <c r="R188" s="81"/>
    </row>
    <row r="189" spans="1:18" s="45" customFormat="1" x14ac:dyDescent="0.3">
      <c r="A189" s="45">
        <f t="shared" si="7"/>
        <v>12</v>
      </c>
      <c r="B189" s="82" t="s">
        <v>508</v>
      </c>
      <c r="C189" s="82" t="s">
        <v>461</v>
      </c>
      <c r="D189" s="83">
        <v>42770</v>
      </c>
      <c r="E189" s="84"/>
      <c r="F189" s="82" t="s">
        <v>509</v>
      </c>
      <c r="G189" s="82" t="s">
        <v>510</v>
      </c>
      <c r="H189" s="85" t="s">
        <v>11</v>
      </c>
      <c r="I189" s="82" t="s">
        <v>12</v>
      </c>
      <c r="J189" s="82">
        <v>0.45</v>
      </c>
      <c r="K189" s="81">
        <v>1.4450000000000001</v>
      </c>
      <c r="L189" s="45">
        <f t="shared" si="6"/>
        <v>0.53499999999999992</v>
      </c>
      <c r="M189" s="82">
        <v>1.1000000000000001</v>
      </c>
      <c r="N189" s="45">
        <v>0.26</v>
      </c>
      <c r="O189" s="81"/>
      <c r="P189" s="81"/>
      <c r="Q189" s="81"/>
      <c r="R189" s="81"/>
    </row>
    <row r="190" spans="1:18" s="45" customFormat="1" x14ac:dyDescent="0.3">
      <c r="A190" s="45">
        <f t="shared" si="7"/>
        <v>13</v>
      </c>
      <c r="B190" s="82" t="s">
        <v>508</v>
      </c>
      <c r="C190" s="82" t="s">
        <v>461</v>
      </c>
      <c r="D190" s="83">
        <v>42770</v>
      </c>
      <c r="E190" s="84"/>
      <c r="F190" s="82" t="s">
        <v>509</v>
      </c>
      <c r="G190" s="82" t="s">
        <v>510</v>
      </c>
      <c r="H190" s="85" t="s">
        <v>11</v>
      </c>
      <c r="I190" s="82" t="s">
        <v>12</v>
      </c>
      <c r="J190" s="82">
        <v>0.5</v>
      </c>
      <c r="K190" s="81">
        <v>1.4450000000000001</v>
      </c>
      <c r="L190" s="45">
        <f t="shared" si="6"/>
        <v>0.58499999999999996</v>
      </c>
      <c r="M190" s="82">
        <v>1.1000000000000001</v>
      </c>
      <c r="N190" s="45">
        <v>0.26</v>
      </c>
      <c r="O190" s="81"/>
      <c r="P190" s="81"/>
      <c r="Q190" s="81"/>
      <c r="R190" s="81"/>
    </row>
    <row r="191" spans="1:18" s="45" customFormat="1" x14ac:dyDescent="0.3">
      <c r="A191" s="45">
        <f t="shared" si="7"/>
        <v>14</v>
      </c>
      <c r="B191" s="82" t="s">
        <v>508</v>
      </c>
      <c r="C191" s="82" t="s">
        <v>461</v>
      </c>
      <c r="D191" s="83">
        <v>42770</v>
      </c>
      <c r="E191" s="84"/>
      <c r="F191" s="82" t="s">
        <v>509</v>
      </c>
      <c r="G191" s="82" t="s">
        <v>510</v>
      </c>
      <c r="H191" s="85" t="s">
        <v>11</v>
      </c>
      <c r="I191" s="82" t="s">
        <v>12</v>
      </c>
      <c r="J191" s="82">
        <v>0.55000000000000004</v>
      </c>
      <c r="K191" s="81">
        <v>1.4450000000000001</v>
      </c>
      <c r="L191" s="45">
        <f t="shared" si="6"/>
        <v>0.63500000000000001</v>
      </c>
      <c r="M191" s="82">
        <v>1.1000000000000001</v>
      </c>
      <c r="N191" s="45">
        <v>0.26</v>
      </c>
      <c r="O191" s="81"/>
      <c r="P191" s="81"/>
      <c r="Q191" s="81"/>
      <c r="R191" s="81"/>
    </row>
    <row r="192" spans="1:18" s="45" customFormat="1" x14ac:dyDescent="0.3">
      <c r="A192" s="45">
        <f t="shared" si="7"/>
        <v>15</v>
      </c>
      <c r="B192" s="82" t="s">
        <v>508</v>
      </c>
      <c r="C192" s="82" t="s">
        <v>461</v>
      </c>
      <c r="D192" s="83">
        <v>42770</v>
      </c>
      <c r="E192" s="84">
        <v>0.70833333333333337</v>
      </c>
      <c r="F192" s="82" t="s">
        <v>509</v>
      </c>
      <c r="G192" s="82" t="s">
        <v>510</v>
      </c>
      <c r="H192" s="85" t="s">
        <v>11</v>
      </c>
      <c r="I192" s="82" t="s">
        <v>12</v>
      </c>
      <c r="J192" s="82">
        <v>0.6</v>
      </c>
      <c r="K192" s="81">
        <v>1.4450000000000001</v>
      </c>
      <c r="L192" s="45">
        <f t="shared" si="6"/>
        <v>0.68499999999999983</v>
      </c>
      <c r="M192" s="82">
        <v>1.1000000000000001</v>
      </c>
      <c r="N192" s="45">
        <v>0.26</v>
      </c>
      <c r="O192" s="81"/>
      <c r="P192" s="81"/>
      <c r="Q192" s="81"/>
      <c r="R192" s="81"/>
    </row>
    <row r="193" spans="1:18" s="45" customFormat="1" x14ac:dyDescent="0.3">
      <c r="A193" s="45">
        <v>1</v>
      </c>
      <c r="B193" s="82" t="s">
        <v>508</v>
      </c>
      <c r="C193" s="82" t="s">
        <v>494</v>
      </c>
      <c r="D193" s="83">
        <v>42770</v>
      </c>
      <c r="E193" s="84">
        <v>0.6875</v>
      </c>
      <c r="F193" s="82" t="s">
        <v>511</v>
      </c>
      <c r="G193" s="82" t="s">
        <v>512</v>
      </c>
      <c r="H193" s="85" t="s">
        <v>11</v>
      </c>
      <c r="I193" s="82" t="s">
        <v>12</v>
      </c>
      <c r="J193" s="82">
        <v>0.45</v>
      </c>
      <c r="K193" s="81">
        <v>1.5680000000000001</v>
      </c>
      <c r="L193" s="45">
        <f t="shared" si="6"/>
        <v>0.65800000000000014</v>
      </c>
      <c r="M193" s="82">
        <v>1.1000000000000001</v>
      </c>
      <c r="N193" s="45">
        <v>0.26</v>
      </c>
      <c r="O193" s="53">
        <f>AVERAGE(L193:L208)</f>
        <v>0.71737500000000021</v>
      </c>
      <c r="P193" s="80"/>
      <c r="Q193" s="53"/>
      <c r="R193" s="80"/>
    </row>
    <row r="194" spans="1:18" s="45" customFormat="1" x14ac:dyDescent="0.3">
      <c r="A194" s="45">
        <f>SUM(A193+1)</f>
        <v>2</v>
      </c>
      <c r="B194" s="82" t="s">
        <v>508</v>
      </c>
      <c r="C194" s="82" t="s">
        <v>494</v>
      </c>
      <c r="D194" s="83">
        <v>42770</v>
      </c>
      <c r="E194" s="84"/>
      <c r="F194" s="82" t="s">
        <v>511</v>
      </c>
      <c r="G194" s="82" t="s">
        <v>512</v>
      </c>
      <c r="H194" s="85" t="s">
        <v>11</v>
      </c>
      <c r="I194" s="82" t="s">
        <v>12</v>
      </c>
      <c r="J194" s="82">
        <v>0.5</v>
      </c>
      <c r="K194" s="81">
        <v>1.5680000000000001</v>
      </c>
      <c r="L194" s="45">
        <f t="shared" si="6"/>
        <v>0.70799999999999996</v>
      </c>
      <c r="M194" s="82">
        <v>1.1000000000000001</v>
      </c>
      <c r="N194" s="45">
        <v>0.26</v>
      </c>
      <c r="O194" s="81"/>
      <c r="P194" s="81"/>
      <c r="Q194" s="81"/>
      <c r="R194" s="81"/>
    </row>
    <row r="195" spans="1:18" s="45" customFormat="1" x14ac:dyDescent="0.3">
      <c r="A195" s="45">
        <f t="shared" ref="A195:A223" si="8">SUM(A194+1)</f>
        <v>3</v>
      </c>
      <c r="B195" s="82" t="s">
        <v>508</v>
      </c>
      <c r="C195" s="82" t="s">
        <v>494</v>
      </c>
      <c r="D195" s="83">
        <v>42770</v>
      </c>
      <c r="E195" s="84"/>
      <c r="F195" s="82" t="s">
        <v>511</v>
      </c>
      <c r="G195" s="82" t="s">
        <v>512</v>
      </c>
      <c r="H195" s="85" t="s">
        <v>11</v>
      </c>
      <c r="I195" s="82" t="s">
        <v>12</v>
      </c>
      <c r="J195" s="82">
        <v>0.55000000000000004</v>
      </c>
      <c r="K195" s="81">
        <v>1.5680000000000001</v>
      </c>
      <c r="L195" s="45">
        <f t="shared" si="6"/>
        <v>0.75800000000000023</v>
      </c>
      <c r="M195" s="82">
        <v>1.1000000000000001</v>
      </c>
      <c r="N195" s="45">
        <v>0.26</v>
      </c>
      <c r="O195" s="81"/>
      <c r="P195" s="81"/>
      <c r="Q195" s="81"/>
      <c r="R195" s="81"/>
    </row>
    <row r="196" spans="1:18" s="45" customFormat="1" x14ac:dyDescent="0.3">
      <c r="A196" s="45">
        <f t="shared" si="8"/>
        <v>4</v>
      </c>
      <c r="B196" s="82" t="s">
        <v>508</v>
      </c>
      <c r="C196" s="82" t="s">
        <v>494</v>
      </c>
      <c r="D196" s="83">
        <v>42770</v>
      </c>
      <c r="E196" s="84"/>
      <c r="F196" s="82" t="s">
        <v>511</v>
      </c>
      <c r="G196" s="82" t="s">
        <v>512</v>
      </c>
      <c r="H196" s="85" t="s">
        <v>11</v>
      </c>
      <c r="I196" s="82" t="s">
        <v>12</v>
      </c>
      <c r="J196" s="82">
        <v>0.6</v>
      </c>
      <c r="K196" s="81">
        <v>1.5680000000000001</v>
      </c>
      <c r="L196" s="45">
        <f t="shared" si="6"/>
        <v>0.80800000000000005</v>
      </c>
      <c r="M196" s="82">
        <v>1.1000000000000001</v>
      </c>
      <c r="N196" s="45">
        <v>0.26</v>
      </c>
      <c r="O196" s="82"/>
    </row>
    <row r="197" spans="1:18" s="45" customFormat="1" x14ac:dyDescent="0.3">
      <c r="A197" s="45">
        <f t="shared" si="8"/>
        <v>5</v>
      </c>
      <c r="B197" s="82" t="s">
        <v>508</v>
      </c>
      <c r="C197" s="82" t="s">
        <v>494</v>
      </c>
      <c r="D197" s="83">
        <v>42770</v>
      </c>
      <c r="E197" s="84"/>
      <c r="F197" s="82" t="s">
        <v>511</v>
      </c>
      <c r="G197" s="82" t="s">
        <v>512</v>
      </c>
      <c r="H197" s="85" t="s">
        <v>11</v>
      </c>
      <c r="I197" s="82" t="s">
        <v>12</v>
      </c>
      <c r="J197" s="82">
        <v>0.5</v>
      </c>
      <c r="K197" s="81">
        <v>1.5680000000000001</v>
      </c>
      <c r="L197" s="45">
        <f t="shared" si="6"/>
        <v>0.70799999999999996</v>
      </c>
      <c r="M197" s="82">
        <v>1.1000000000000001</v>
      </c>
      <c r="N197" s="45">
        <v>0.26</v>
      </c>
      <c r="O197" s="82"/>
    </row>
    <row r="198" spans="1:18" s="45" customFormat="1" x14ac:dyDescent="0.3">
      <c r="A198" s="45">
        <f t="shared" si="8"/>
        <v>6</v>
      </c>
      <c r="B198" s="82" t="s">
        <v>508</v>
      </c>
      <c r="C198" s="82" t="s">
        <v>494</v>
      </c>
      <c r="D198" s="83">
        <v>42770</v>
      </c>
      <c r="E198" s="84"/>
      <c r="F198" s="82" t="s">
        <v>511</v>
      </c>
      <c r="G198" s="82" t="s">
        <v>512</v>
      </c>
      <c r="H198" s="85" t="s">
        <v>11</v>
      </c>
      <c r="I198" s="82" t="s">
        <v>12</v>
      </c>
      <c r="J198" s="82">
        <v>0.45</v>
      </c>
      <c r="K198" s="81">
        <v>1.5680000000000001</v>
      </c>
      <c r="L198" s="45">
        <f t="shared" si="6"/>
        <v>0.65800000000000014</v>
      </c>
      <c r="M198" s="82">
        <v>1.1000000000000001</v>
      </c>
      <c r="N198" s="45">
        <v>0.26</v>
      </c>
      <c r="O198" s="82"/>
    </row>
    <row r="199" spans="1:18" s="45" customFormat="1" x14ac:dyDescent="0.3">
      <c r="A199" s="45">
        <f t="shared" si="8"/>
        <v>7</v>
      </c>
      <c r="B199" s="82" t="s">
        <v>508</v>
      </c>
      <c r="C199" s="82" t="s">
        <v>494</v>
      </c>
      <c r="D199" s="83">
        <v>42770</v>
      </c>
      <c r="E199" s="84"/>
      <c r="F199" s="82" t="s">
        <v>511</v>
      </c>
      <c r="G199" s="82" t="s">
        <v>512</v>
      </c>
      <c r="H199" s="85" t="s">
        <v>11</v>
      </c>
      <c r="I199" s="82" t="s">
        <v>12</v>
      </c>
      <c r="J199" s="82">
        <v>0.5</v>
      </c>
      <c r="K199" s="81">
        <v>1.5680000000000001</v>
      </c>
      <c r="L199" s="45">
        <f t="shared" si="6"/>
        <v>0.70799999999999996</v>
      </c>
      <c r="M199" s="82">
        <v>1.1000000000000001</v>
      </c>
      <c r="N199" s="45">
        <v>0.26</v>
      </c>
      <c r="O199" s="82"/>
    </row>
    <row r="200" spans="1:18" s="45" customFormat="1" x14ac:dyDescent="0.3">
      <c r="A200" s="45">
        <f t="shared" si="8"/>
        <v>8</v>
      </c>
      <c r="B200" s="82" t="s">
        <v>508</v>
      </c>
      <c r="C200" s="82" t="s">
        <v>494</v>
      </c>
      <c r="D200" s="83">
        <v>42770</v>
      </c>
      <c r="E200" s="84"/>
      <c r="F200" s="82" t="s">
        <v>511</v>
      </c>
      <c r="G200" s="82" t="s">
        <v>512</v>
      </c>
      <c r="H200" s="85" t="s">
        <v>11</v>
      </c>
      <c r="I200" s="82" t="s">
        <v>12</v>
      </c>
      <c r="J200" s="82">
        <v>0.6</v>
      </c>
      <c r="K200" s="81">
        <v>1.5680000000000001</v>
      </c>
      <c r="L200" s="45">
        <f t="shared" si="6"/>
        <v>0.80800000000000005</v>
      </c>
      <c r="M200" s="82">
        <v>1.1000000000000001</v>
      </c>
      <c r="N200" s="45">
        <v>0.26</v>
      </c>
      <c r="O200" s="82"/>
    </row>
    <row r="201" spans="1:18" s="45" customFormat="1" x14ac:dyDescent="0.3">
      <c r="A201" s="45">
        <f t="shared" si="8"/>
        <v>9</v>
      </c>
      <c r="B201" s="82" t="s">
        <v>508</v>
      </c>
      <c r="C201" s="82" t="s">
        <v>494</v>
      </c>
      <c r="D201" s="83">
        <v>42770</v>
      </c>
      <c r="E201" s="84"/>
      <c r="F201" s="82" t="s">
        <v>511</v>
      </c>
      <c r="G201" s="82" t="s">
        <v>512</v>
      </c>
      <c r="H201" s="85" t="s">
        <v>11</v>
      </c>
      <c r="I201" s="82" t="s">
        <v>12</v>
      </c>
      <c r="J201" s="82">
        <v>0.55000000000000004</v>
      </c>
      <c r="K201" s="81">
        <v>1.5680000000000001</v>
      </c>
      <c r="L201" s="45">
        <f t="shared" si="6"/>
        <v>0.75800000000000023</v>
      </c>
      <c r="M201" s="82">
        <v>1.1000000000000001</v>
      </c>
      <c r="N201" s="45">
        <v>0.26</v>
      </c>
      <c r="O201" s="82"/>
    </row>
    <row r="202" spans="1:18" s="45" customFormat="1" x14ac:dyDescent="0.3">
      <c r="A202" s="45">
        <f t="shared" si="8"/>
        <v>10</v>
      </c>
      <c r="B202" s="82" t="s">
        <v>508</v>
      </c>
      <c r="C202" s="82" t="s">
        <v>494</v>
      </c>
      <c r="D202" s="83">
        <v>42770</v>
      </c>
      <c r="E202" s="84"/>
      <c r="F202" s="82" t="s">
        <v>511</v>
      </c>
      <c r="G202" s="82" t="s">
        <v>512</v>
      </c>
      <c r="H202" s="85" t="s">
        <v>11</v>
      </c>
      <c r="I202" s="82" t="s">
        <v>12</v>
      </c>
      <c r="J202" s="82">
        <v>0.5</v>
      </c>
      <c r="K202" s="81">
        <v>1.5680000000000001</v>
      </c>
      <c r="L202" s="45">
        <f t="shared" si="6"/>
        <v>0.70799999999999996</v>
      </c>
      <c r="M202" s="82">
        <v>1.1000000000000001</v>
      </c>
      <c r="N202" s="45">
        <v>0.26</v>
      </c>
      <c r="O202" s="82"/>
    </row>
    <row r="203" spans="1:18" s="45" customFormat="1" x14ac:dyDescent="0.3">
      <c r="A203" s="45">
        <f t="shared" si="8"/>
        <v>11</v>
      </c>
      <c r="B203" s="82" t="s">
        <v>508</v>
      </c>
      <c r="C203" s="82" t="s">
        <v>494</v>
      </c>
      <c r="D203" s="83">
        <v>42770</v>
      </c>
      <c r="E203" s="84"/>
      <c r="F203" s="82" t="s">
        <v>511</v>
      </c>
      <c r="G203" s="82" t="s">
        <v>512</v>
      </c>
      <c r="H203" s="85" t="s">
        <v>11</v>
      </c>
      <c r="I203" s="82" t="s">
        <v>12</v>
      </c>
      <c r="J203" s="82">
        <v>0.5</v>
      </c>
      <c r="K203" s="81">
        <v>1.5680000000000001</v>
      </c>
      <c r="L203" s="45">
        <f t="shared" si="6"/>
        <v>0.70799999999999996</v>
      </c>
      <c r="M203" s="82">
        <v>1.1000000000000001</v>
      </c>
      <c r="N203" s="45">
        <v>0.26</v>
      </c>
      <c r="O203" s="82"/>
    </row>
    <row r="204" spans="1:18" s="45" customFormat="1" x14ac:dyDescent="0.3">
      <c r="A204" s="45">
        <f t="shared" si="8"/>
        <v>12</v>
      </c>
      <c r="B204" s="82" t="s">
        <v>508</v>
      </c>
      <c r="C204" s="82" t="s">
        <v>494</v>
      </c>
      <c r="D204" s="83">
        <v>42770</v>
      </c>
      <c r="E204" s="84"/>
      <c r="F204" s="82" t="s">
        <v>511</v>
      </c>
      <c r="G204" s="82" t="s">
        <v>512</v>
      </c>
      <c r="H204" s="85" t="s">
        <v>11</v>
      </c>
      <c r="I204" s="82" t="s">
        <v>12</v>
      </c>
      <c r="J204" s="82">
        <v>0.5</v>
      </c>
      <c r="K204" s="81">
        <v>1.5680000000000001</v>
      </c>
      <c r="L204" s="45">
        <f t="shared" si="6"/>
        <v>0.70799999999999996</v>
      </c>
      <c r="M204" s="82">
        <v>1.1000000000000001</v>
      </c>
      <c r="N204" s="45">
        <v>0.26</v>
      </c>
      <c r="O204" s="82"/>
    </row>
    <row r="205" spans="1:18" s="45" customFormat="1" x14ac:dyDescent="0.3">
      <c r="A205" s="45">
        <f t="shared" si="8"/>
        <v>13</v>
      </c>
      <c r="B205" s="82" t="s">
        <v>508</v>
      </c>
      <c r="C205" s="82" t="s">
        <v>494</v>
      </c>
      <c r="D205" s="83">
        <v>42770</v>
      </c>
      <c r="E205" s="84"/>
      <c r="F205" s="82" t="s">
        <v>511</v>
      </c>
      <c r="G205" s="82" t="s">
        <v>512</v>
      </c>
      <c r="H205" s="85" t="s">
        <v>11</v>
      </c>
      <c r="I205" s="82" t="s">
        <v>12</v>
      </c>
      <c r="J205" s="82">
        <v>0.5</v>
      </c>
      <c r="K205" s="81">
        <v>1.5680000000000001</v>
      </c>
      <c r="L205" s="45">
        <f t="shared" si="6"/>
        <v>0.70799999999999996</v>
      </c>
      <c r="M205" s="82">
        <v>1.1000000000000001</v>
      </c>
      <c r="N205" s="45">
        <v>0.26</v>
      </c>
      <c r="O205" s="82"/>
    </row>
    <row r="206" spans="1:18" s="45" customFormat="1" x14ac:dyDescent="0.3">
      <c r="A206" s="45">
        <f t="shared" si="8"/>
        <v>14</v>
      </c>
      <c r="B206" s="82" t="s">
        <v>508</v>
      </c>
      <c r="C206" s="82" t="s">
        <v>494</v>
      </c>
      <c r="D206" s="83">
        <v>42770</v>
      </c>
      <c r="E206" s="84"/>
      <c r="F206" s="82" t="s">
        <v>511</v>
      </c>
      <c r="G206" s="82" t="s">
        <v>512</v>
      </c>
      <c r="H206" s="85" t="s">
        <v>11</v>
      </c>
      <c r="I206" s="82" t="s">
        <v>12</v>
      </c>
      <c r="J206" s="82">
        <v>0.5</v>
      </c>
      <c r="K206" s="81">
        <v>1.5680000000000001</v>
      </c>
      <c r="L206" s="45">
        <f t="shared" si="6"/>
        <v>0.70799999999999996</v>
      </c>
      <c r="M206" s="82">
        <v>1.1000000000000001</v>
      </c>
      <c r="N206" s="45">
        <v>0.26</v>
      </c>
      <c r="O206" s="82"/>
    </row>
    <row r="207" spans="1:18" s="45" customFormat="1" x14ac:dyDescent="0.3">
      <c r="A207" s="45">
        <f t="shared" si="8"/>
        <v>15</v>
      </c>
      <c r="B207" s="82" t="s">
        <v>508</v>
      </c>
      <c r="C207" s="82" t="s">
        <v>494</v>
      </c>
      <c r="D207" s="83">
        <v>42770</v>
      </c>
      <c r="E207" s="84"/>
      <c r="F207" s="82" t="s">
        <v>511</v>
      </c>
      <c r="G207" s="82" t="s">
        <v>512</v>
      </c>
      <c r="H207" s="85" t="s">
        <v>11</v>
      </c>
      <c r="I207" s="82" t="s">
        <v>12</v>
      </c>
      <c r="J207" s="82">
        <v>0.4</v>
      </c>
      <c r="K207" s="81">
        <v>1.5680000000000001</v>
      </c>
      <c r="L207" s="45">
        <f t="shared" si="6"/>
        <v>0.60799999999999987</v>
      </c>
      <c r="M207" s="82">
        <v>1.1000000000000001</v>
      </c>
      <c r="N207" s="45">
        <v>0.26</v>
      </c>
      <c r="O207" s="82"/>
    </row>
    <row r="208" spans="1:18" s="45" customFormat="1" x14ac:dyDescent="0.3">
      <c r="A208" s="45">
        <f t="shared" si="8"/>
        <v>16</v>
      </c>
      <c r="B208" s="82" t="s">
        <v>508</v>
      </c>
      <c r="C208" s="82" t="s">
        <v>494</v>
      </c>
      <c r="D208" s="83">
        <v>42770</v>
      </c>
      <c r="E208" s="84">
        <v>0.69444444444444453</v>
      </c>
      <c r="F208" s="82" t="s">
        <v>511</v>
      </c>
      <c r="G208" s="82" t="s">
        <v>512</v>
      </c>
      <c r="H208" s="85" t="s">
        <v>11</v>
      </c>
      <c r="I208" s="82" t="s">
        <v>12</v>
      </c>
      <c r="J208" s="82">
        <v>0.55000000000000004</v>
      </c>
      <c r="K208" s="81">
        <v>1.5680000000000001</v>
      </c>
      <c r="L208" s="45">
        <f t="shared" si="6"/>
        <v>0.75800000000000023</v>
      </c>
      <c r="M208" s="82">
        <v>1.1000000000000001</v>
      </c>
      <c r="N208" s="45">
        <v>0.26</v>
      </c>
      <c r="O208" s="82"/>
    </row>
    <row r="209" spans="1:18" s="45" customFormat="1" x14ac:dyDescent="0.3">
      <c r="A209" s="45">
        <v>1</v>
      </c>
      <c r="B209" s="82" t="s">
        <v>508</v>
      </c>
      <c r="C209" s="82" t="s">
        <v>494</v>
      </c>
      <c r="D209" s="83">
        <v>42770</v>
      </c>
      <c r="E209" s="84">
        <v>0.70486111111111116</v>
      </c>
      <c r="F209" s="82" t="s">
        <v>509</v>
      </c>
      <c r="G209" s="82" t="s">
        <v>510</v>
      </c>
      <c r="H209" s="85" t="s">
        <v>11</v>
      </c>
      <c r="I209" s="82" t="s">
        <v>12</v>
      </c>
      <c r="J209" s="82">
        <v>0.6</v>
      </c>
      <c r="K209" s="81">
        <v>1.4359999999999999</v>
      </c>
      <c r="L209" s="45">
        <f t="shared" si="6"/>
        <v>0.67599999999999993</v>
      </c>
      <c r="M209" s="82">
        <v>1.1000000000000001</v>
      </c>
      <c r="N209" s="45">
        <v>0.26</v>
      </c>
      <c r="O209" s="53">
        <f>AVERAGE(L209:L223)</f>
        <v>0.70933333333333326</v>
      </c>
      <c r="P209" s="77"/>
      <c r="Q209" s="12"/>
      <c r="R209" s="80"/>
    </row>
    <row r="210" spans="1:18" s="45" customFormat="1" x14ac:dyDescent="0.3">
      <c r="A210" s="45">
        <f>SUM(A209+1)</f>
        <v>2</v>
      </c>
      <c r="B210" s="82" t="s">
        <v>508</v>
      </c>
      <c r="C210" s="82" t="s">
        <v>494</v>
      </c>
      <c r="D210" s="83">
        <v>42770</v>
      </c>
      <c r="E210" s="84"/>
      <c r="F210" s="82" t="s">
        <v>509</v>
      </c>
      <c r="G210" s="82" t="s">
        <v>510</v>
      </c>
      <c r="H210" s="85" t="s">
        <v>11</v>
      </c>
      <c r="I210" s="82" t="s">
        <v>12</v>
      </c>
      <c r="J210" s="82">
        <v>0.5</v>
      </c>
      <c r="K210" s="81">
        <v>1.4359999999999999</v>
      </c>
      <c r="L210" s="45">
        <f t="shared" si="6"/>
        <v>0.57599999999999985</v>
      </c>
      <c r="M210" s="82">
        <v>1.1000000000000001</v>
      </c>
      <c r="N210" s="45">
        <v>0.26</v>
      </c>
      <c r="O210" s="82"/>
    </row>
    <row r="211" spans="1:18" s="45" customFormat="1" x14ac:dyDescent="0.3">
      <c r="A211" s="45">
        <f t="shared" si="8"/>
        <v>3</v>
      </c>
      <c r="B211" s="82" t="s">
        <v>508</v>
      </c>
      <c r="C211" s="82" t="s">
        <v>494</v>
      </c>
      <c r="D211" s="83">
        <v>42770</v>
      </c>
      <c r="E211" s="84"/>
      <c r="F211" s="82" t="s">
        <v>509</v>
      </c>
      <c r="G211" s="82" t="s">
        <v>510</v>
      </c>
      <c r="H211" s="85" t="s">
        <v>11</v>
      </c>
      <c r="I211" s="82" t="s">
        <v>12</v>
      </c>
      <c r="J211" s="82">
        <v>0.6</v>
      </c>
      <c r="K211" s="81">
        <v>1.4359999999999999</v>
      </c>
      <c r="L211" s="45">
        <f t="shared" si="6"/>
        <v>0.67599999999999993</v>
      </c>
      <c r="M211" s="82">
        <v>1.1000000000000001</v>
      </c>
      <c r="N211" s="45">
        <v>0.26</v>
      </c>
      <c r="O211" s="82"/>
    </row>
    <row r="212" spans="1:18" s="45" customFormat="1" x14ac:dyDescent="0.3">
      <c r="A212" s="45">
        <f t="shared" si="8"/>
        <v>4</v>
      </c>
      <c r="B212" s="82" t="s">
        <v>508</v>
      </c>
      <c r="C212" s="82" t="s">
        <v>494</v>
      </c>
      <c r="D212" s="83">
        <v>42770</v>
      </c>
      <c r="E212" s="84"/>
      <c r="F212" s="82" t="s">
        <v>509</v>
      </c>
      <c r="G212" s="82" t="s">
        <v>510</v>
      </c>
      <c r="H212" s="85" t="s">
        <v>11</v>
      </c>
      <c r="I212" s="82" t="s">
        <v>12</v>
      </c>
      <c r="J212" s="82">
        <v>0.5</v>
      </c>
      <c r="K212" s="81">
        <v>1.4359999999999999</v>
      </c>
      <c r="L212" s="45">
        <f t="shared" si="6"/>
        <v>0.57599999999999985</v>
      </c>
      <c r="M212" s="82">
        <v>1.1000000000000001</v>
      </c>
      <c r="N212" s="45">
        <v>0.26</v>
      </c>
      <c r="O212" s="82"/>
    </row>
    <row r="213" spans="1:18" s="45" customFormat="1" x14ac:dyDescent="0.3">
      <c r="A213" s="45">
        <f t="shared" si="8"/>
        <v>5</v>
      </c>
      <c r="B213" s="82" t="s">
        <v>508</v>
      </c>
      <c r="C213" s="82" t="s">
        <v>494</v>
      </c>
      <c r="D213" s="83">
        <v>42770</v>
      </c>
      <c r="E213" s="84"/>
      <c r="F213" s="82" t="s">
        <v>509</v>
      </c>
      <c r="G213" s="82" t="s">
        <v>510</v>
      </c>
      <c r="H213" s="85" t="s">
        <v>11</v>
      </c>
      <c r="I213" s="82" t="s">
        <v>12</v>
      </c>
      <c r="J213" s="82">
        <v>0.6</v>
      </c>
      <c r="K213" s="81">
        <v>1.4359999999999999</v>
      </c>
      <c r="L213" s="45">
        <f t="shared" si="6"/>
        <v>0.67599999999999993</v>
      </c>
      <c r="M213" s="82">
        <v>1.1000000000000001</v>
      </c>
      <c r="N213" s="45">
        <v>0.26</v>
      </c>
      <c r="O213" s="82"/>
    </row>
    <row r="214" spans="1:18" s="45" customFormat="1" x14ac:dyDescent="0.3">
      <c r="A214" s="45">
        <f t="shared" si="8"/>
        <v>6</v>
      </c>
      <c r="B214" s="82" t="s">
        <v>508</v>
      </c>
      <c r="C214" s="82" t="s">
        <v>494</v>
      </c>
      <c r="D214" s="83">
        <v>42770</v>
      </c>
      <c r="E214" s="84"/>
      <c r="F214" s="82" t="s">
        <v>509</v>
      </c>
      <c r="G214" s="82" t="s">
        <v>510</v>
      </c>
      <c r="H214" s="85" t="s">
        <v>11</v>
      </c>
      <c r="I214" s="82" t="s">
        <v>12</v>
      </c>
      <c r="J214" s="82">
        <v>0.7</v>
      </c>
      <c r="K214" s="81">
        <v>1.4359999999999999</v>
      </c>
      <c r="L214" s="45">
        <f t="shared" si="6"/>
        <v>0.77600000000000002</v>
      </c>
      <c r="M214" s="82">
        <v>1.1000000000000001</v>
      </c>
      <c r="N214" s="45">
        <v>0.26</v>
      </c>
      <c r="O214" s="82"/>
    </row>
    <row r="215" spans="1:18" s="45" customFormat="1" x14ac:dyDescent="0.3">
      <c r="A215" s="45">
        <f t="shared" si="8"/>
        <v>7</v>
      </c>
      <c r="B215" s="82" t="s">
        <v>508</v>
      </c>
      <c r="C215" s="82" t="s">
        <v>494</v>
      </c>
      <c r="D215" s="83">
        <v>42770</v>
      </c>
      <c r="E215" s="84"/>
      <c r="F215" s="82" t="s">
        <v>509</v>
      </c>
      <c r="G215" s="82" t="s">
        <v>510</v>
      </c>
      <c r="H215" s="85" t="s">
        <v>11</v>
      </c>
      <c r="I215" s="82" t="s">
        <v>12</v>
      </c>
      <c r="J215" s="82">
        <v>0.5</v>
      </c>
      <c r="K215" s="81">
        <v>1.4359999999999999</v>
      </c>
      <c r="L215" s="45">
        <f t="shared" si="6"/>
        <v>0.57599999999999985</v>
      </c>
      <c r="M215" s="82">
        <v>1.1000000000000001</v>
      </c>
      <c r="N215" s="45">
        <v>0.26</v>
      </c>
      <c r="O215" s="82"/>
    </row>
    <row r="216" spans="1:18" s="45" customFormat="1" x14ac:dyDescent="0.3">
      <c r="A216" s="45">
        <f t="shared" si="8"/>
        <v>8</v>
      </c>
      <c r="B216" s="82" t="s">
        <v>508</v>
      </c>
      <c r="C216" s="82" t="s">
        <v>494</v>
      </c>
      <c r="D216" s="83">
        <v>42770</v>
      </c>
      <c r="E216" s="84"/>
      <c r="F216" s="82" t="s">
        <v>509</v>
      </c>
      <c r="G216" s="82" t="s">
        <v>510</v>
      </c>
      <c r="H216" s="85" t="s">
        <v>11</v>
      </c>
      <c r="I216" s="82" t="s">
        <v>12</v>
      </c>
      <c r="J216" s="82">
        <v>0.8</v>
      </c>
      <c r="K216" s="81">
        <v>1.4359999999999999</v>
      </c>
      <c r="L216" s="45">
        <f t="shared" si="6"/>
        <v>0.87599999999999967</v>
      </c>
      <c r="M216" s="82">
        <v>1.1000000000000001</v>
      </c>
      <c r="N216" s="45">
        <v>0.26</v>
      </c>
      <c r="O216" s="82"/>
    </row>
    <row r="217" spans="1:18" s="45" customFormat="1" x14ac:dyDescent="0.3">
      <c r="A217" s="45">
        <f t="shared" si="8"/>
        <v>9</v>
      </c>
      <c r="B217" s="82" t="s">
        <v>508</v>
      </c>
      <c r="C217" s="82" t="s">
        <v>494</v>
      </c>
      <c r="D217" s="83">
        <v>42770</v>
      </c>
      <c r="E217" s="84"/>
      <c r="F217" s="82" t="s">
        <v>509</v>
      </c>
      <c r="G217" s="82" t="s">
        <v>510</v>
      </c>
      <c r="H217" s="85" t="s">
        <v>11</v>
      </c>
      <c r="I217" s="82" t="s">
        <v>12</v>
      </c>
      <c r="J217" s="82">
        <v>0.7</v>
      </c>
      <c r="K217" s="81">
        <v>1.4359999999999999</v>
      </c>
      <c r="L217" s="45">
        <f t="shared" si="6"/>
        <v>0.77600000000000002</v>
      </c>
      <c r="M217" s="82">
        <v>1.1000000000000001</v>
      </c>
      <c r="N217" s="45">
        <v>0.26</v>
      </c>
      <c r="O217" s="82"/>
    </row>
    <row r="218" spans="1:18" s="45" customFormat="1" x14ac:dyDescent="0.3">
      <c r="A218" s="45">
        <f t="shared" si="8"/>
        <v>10</v>
      </c>
      <c r="B218" s="82" t="s">
        <v>508</v>
      </c>
      <c r="C218" s="82" t="s">
        <v>494</v>
      </c>
      <c r="D218" s="83">
        <v>42770</v>
      </c>
      <c r="E218" s="84"/>
      <c r="F218" s="82" t="s">
        <v>509</v>
      </c>
      <c r="G218" s="82" t="s">
        <v>510</v>
      </c>
      <c r="H218" s="85" t="s">
        <v>11</v>
      </c>
      <c r="I218" s="82" t="s">
        <v>12</v>
      </c>
      <c r="J218" s="82">
        <v>0.7</v>
      </c>
      <c r="K218" s="81">
        <v>1.4359999999999999</v>
      </c>
      <c r="L218" s="45">
        <f t="shared" si="6"/>
        <v>0.77600000000000002</v>
      </c>
      <c r="M218" s="82">
        <v>1.1000000000000001</v>
      </c>
      <c r="N218" s="45">
        <v>0.26</v>
      </c>
      <c r="O218" s="82"/>
    </row>
    <row r="219" spans="1:18" s="45" customFormat="1" x14ac:dyDescent="0.3">
      <c r="A219" s="45">
        <f t="shared" si="8"/>
        <v>11</v>
      </c>
      <c r="B219" s="82" t="s">
        <v>508</v>
      </c>
      <c r="C219" s="82" t="s">
        <v>494</v>
      </c>
      <c r="D219" s="83">
        <v>42770</v>
      </c>
      <c r="E219" s="84"/>
      <c r="F219" s="82" t="s">
        <v>509</v>
      </c>
      <c r="G219" s="82" t="s">
        <v>510</v>
      </c>
      <c r="H219" s="85" t="s">
        <v>11</v>
      </c>
      <c r="I219" s="82" t="s">
        <v>12</v>
      </c>
      <c r="J219" s="82">
        <v>0.7</v>
      </c>
      <c r="K219" s="81">
        <v>1.4359999999999999</v>
      </c>
      <c r="L219" s="45">
        <f t="shared" si="6"/>
        <v>0.77600000000000002</v>
      </c>
      <c r="M219" s="82">
        <v>1.1000000000000001</v>
      </c>
      <c r="N219" s="45">
        <v>0.26</v>
      </c>
      <c r="O219" s="82"/>
    </row>
    <row r="220" spans="1:18" s="45" customFormat="1" x14ac:dyDescent="0.3">
      <c r="A220" s="45">
        <f t="shared" si="8"/>
        <v>12</v>
      </c>
      <c r="B220" s="82" t="s">
        <v>508</v>
      </c>
      <c r="C220" s="82" t="s">
        <v>494</v>
      </c>
      <c r="D220" s="83">
        <v>42770</v>
      </c>
      <c r="E220" s="84"/>
      <c r="F220" s="82" t="s">
        <v>509</v>
      </c>
      <c r="G220" s="82" t="s">
        <v>510</v>
      </c>
      <c r="H220" s="85" t="s">
        <v>11</v>
      </c>
      <c r="I220" s="82" t="s">
        <v>12</v>
      </c>
      <c r="J220" s="82">
        <v>0.7</v>
      </c>
      <c r="K220" s="81">
        <v>1.4359999999999999</v>
      </c>
      <c r="L220" s="45">
        <f t="shared" si="6"/>
        <v>0.77600000000000002</v>
      </c>
      <c r="M220" s="82">
        <v>1.1000000000000001</v>
      </c>
      <c r="N220" s="45">
        <v>0.26</v>
      </c>
      <c r="O220" s="82"/>
    </row>
    <row r="221" spans="1:18" s="45" customFormat="1" x14ac:dyDescent="0.3">
      <c r="A221" s="45">
        <f t="shared" si="8"/>
        <v>13</v>
      </c>
      <c r="B221" s="82" t="s">
        <v>508</v>
      </c>
      <c r="C221" s="82" t="s">
        <v>494</v>
      </c>
      <c r="D221" s="83">
        <v>42770</v>
      </c>
      <c r="E221" s="84"/>
      <c r="F221" s="82" t="s">
        <v>509</v>
      </c>
      <c r="G221" s="82" t="s">
        <v>510</v>
      </c>
      <c r="H221" s="85" t="s">
        <v>11</v>
      </c>
      <c r="I221" s="82" t="s">
        <v>12</v>
      </c>
      <c r="J221" s="82">
        <v>0.7</v>
      </c>
      <c r="K221" s="81">
        <v>1.4359999999999999</v>
      </c>
      <c r="L221" s="45">
        <f t="shared" si="6"/>
        <v>0.77600000000000002</v>
      </c>
      <c r="M221" s="82">
        <v>1.1000000000000001</v>
      </c>
      <c r="N221" s="45">
        <v>0.26</v>
      </c>
      <c r="O221" s="82"/>
    </row>
    <row r="222" spans="1:18" s="45" customFormat="1" x14ac:dyDescent="0.3">
      <c r="A222" s="45">
        <f t="shared" si="8"/>
        <v>14</v>
      </c>
      <c r="B222" s="82" t="s">
        <v>508</v>
      </c>
      <c r="C222" s="82" t="s">
        <v>494</v>
      </c>
      <c r="D222" s="83">
        <v>42770</v>
      </c>
      <c r="E222" s="84"/>
      <c r="F222" s="82" t="s">
        <v>509</v>
      </c>
      <c r="G222" s="82" t="s">
        <v>510</v>
      </c>
      <c r="H222" s="85" t="s">
        <v>11</v>
      </c>
      <c r="I222" s="82" t="s">
        <v>12</v>
      </c>
      <c r="J222" s="82">
        <v>0.6</v>
      </c>
      <c r="K222" s="81">
        <v>1.4359999999999999</v>
      </c>
      <c r="L222" s="45">
        <f t="shared" si="6"/>
        <v>0.67599999999999993</v>
      </c>
      <c r="M222" s="82">
        <v>1.1000000000000001</v>
      </c>
      <c r="N222" s="45">
        <v>0.26</v>
      </c>
      <c r="O222" s="82"/>
    </row>
    <row r="223" spans="1:18" s="45" customFormat="1" x14ac:dyDescent="0.3">
      <c r="A223" s="45">
        <f t="shared" si="8"/>
        <v>15</v>
      </c>
      <c r="B223" s="82" t="s">
        <v>508</v>
      </c>
      <c r="C223" s="82" t="s">
        <v>494</v>
      </c>
      <c r="D223" s="83">
        <v>42770</v>
      </c>
      <c r="E223" s="84">
        <v>0.70833333333333337</v>
      </c>
      <c r="F223" s="82" t="s">
        <v>509</v>
      </c>
      <c r="G223" s="82" t="s">
        <v>510</v>
      </c>
      <c r="H223" s="85" t="s">
        <v>11</v>
      </c>
      <c r="I223" s="82" t="s">
        <v>12</v>
      </c>
      <c r="J223" s="82">
        <v>0.6</v>
      </c>
      <c r="K223" s="81">
        <v>1.4359999999999999</v>
      </c>
      <c r="L223" s="45">
        <f t="shared" si="6"/>
        <v>0.67599999999999993</v>
      </c>
      <c r="M223" s="82">
        <v>1.1000000000000001</v>
      </c>
      <c r="N223" s="45">
        <v>0.26</v>
      </c>
      <c r="O223" s="82"/>
    </row>
    <row r="224" spans="1:18" x14ac:dyDescent="0.3">
      <c r="A224" s="45"/>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Table 3 Living depth calc</vt:lpstr>
      <vt:lpstr>Table 4 RTK data</vt:lpstr>
      <vt:lpstr> Table 4 Tape Measure data</vt:lpstr>
      <vt:lpstr>Tide Gauge calib uplift all </vt:lpstr>
      <vt:lpstr>NIWA chart uplift all sites</vt:lpstr>
      <vt:lpstr>LINZ chart uplift all sites</vt:lpstr>
      <vt:lpstr>Tape measure uplift all sites</vt:lpstr>
    </vt:vector>
  </TitlesOfParts>
  <Company>University of Canterbury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Reid</dc:creator>
  <cp:lastModifiedBy>Catherine Reid</cp:lastModifiedBy>
  <dcterms:created xsi:type="dcterms:W3CDTF">2017-03-19T03:07:39Z</dcterms:created>
  <dcterms:modified xsi:type="dcterms:W3CDTF">2017-12-27T02:50:59Z</dcterms:modified>
</cp:coreProperties>
</file>